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20" windowHeight="8690" activeTab="0"/>
  </bookViews>
  <sheets>
    <sheet name="規模計算" sheetId="1" r:id="rId1"/>
    <sheet name="入力例" sheetId="2" r:id="rId2"/>
  </sheets>
  <definedNames>
    <definedName name="_xlnm.Print_Area" localSheetId="0">'規模計算'!$A$1:$AE$55</definedName>
    <definedName name="_xlnm.Print_Area" localSheetId="1">'入力例'!$A$1:$AE$55</definedName>
  </definedNames>
  <calcPr fullCalcOnLoad="1"/>
</workbook>
</file>

<file path=xl/comments1.xml><?xml version="1.0" encoding="utf-8"?>
<comments xmlns="http://schemas.openxmlformats.org/spreadsheetml/2006/main">
  <authors>
    <author>obi30443</author>
  </authors>
  <commentList>
    <comment ref="Y53" authorId="0">
      <text>
        <r>
          <rPr>
            <b/>
            <sz val="9"/>
            <rFont val="ＭＳ Ｐゴシック"/>
            <family val="3"/>
          </rPr>
          <t>車いす利用者用駐車場は
１台確保必要となります
（1台以上を手入力）</t>
        </r>
      </text>
    </comment>
    <comment ref="W9" authorId="0">
      <text>
        <r>
          <rPr>
            <b/>
            <sz val="9"/>
            <rFont val="ＭＳ Ｐゴシック"/>
            <family val="3"/>
          </rPr>
          <t>共有部分については、特定・非特定用途の面積比率によりそれぞれへ案分されます</t>
        </r>
      </text>
    </comment>
    <comment ref="S32" authorId="0">
      <text>
        <r>
          <rPr>
            <b/>
            <sz val="9"/>
            <rFont val="ＭＳ Ｐゴシック"/>
            <family val="3"/>
          </rPr>
          <t>荷さばき附置については、特定用途面積が2000㎡を超える場合が対象となります
（対象外の場合は入力をせずに空白としてください）</t>
        </r>
      </text>
    </comment>
  </commentList>
</comments>
</file>

<file path=xl/comments2.xml><?xml version="1.0" encoding="utf-8"?>
<comments xmlns="http://schemas.openxmlformats.org/spreadsheetml/2006/main">
  <authors>
    <author>obi30443</author>
  </authors>
  <commentList>
    <comment ref="W9" authorId="0">
      <text>
        <r>
          <rPr>
            <b/>
            <sz val="9"/>
            <rFont val="ＭＳ Ｐゴシック"/>
            <family val="3"/>
          </rPr>
          <t>共有部分については、特定・非特定用途の面積比率によりそれぞれへ案分されます</t>
        </r>
      </text>
    </comment>
    <comment ref="S32" authorId="0">
      <text>
        <r>
          <rPr>
            <b/>
            <sz val="9"/>
            <rFont val="ＭＳ Ｐゴシック"/>
            <family val="3"/>
          </rPr>
          <t>荷さばき附置については、特定用途面積が2000㎡を超える場合が対象となります
（対象外の場合は入力をせずに空白としてください）</t>
        </r>
      </text>
    </comment>
    <comment ref="Y53" authorId="0">
      <text>
        <r>
          <rPr>
            <b/>
            <sz val="9"/>
            <rFont val="ＭＳ Ｐゴシック"/>
            <family val="3"/>
          </rPr>
          <t>車いす利用者用駐車場は
１台確保必要となります
（1台以上を手入力）</t>
        </r>
      </text>
    </comment>
  </commentList>
</comments>
</file>

<file path=xl/sharedStrings.xml><?xml version="1.0" encoding="utf-8"?>
<sst xmlns="http://schemas.openxmlformats.org/spreadsheetml/2006/main" count="298" uniqueCount="94">
  <si>
    <t>それぞれの用途に供する</t>
  </si>
  <si>
    <t>部分の延床面積</t>
  </si>
  <si>
    <t>附置義務の有無</t>
  </si>
  <si>
    <t>附置義務駐車施設の規模</t>
  </si>
  <si>
    <t>特定用途</t>
  </si>
  <si>
    <t>非特定用途</t>
  </si>
  <si>
    <t>計</t>
  </si>
  <si>
    <t>台</t>
  </si>
  <si>
    <t>店舗</t>
  </si>
  <si>
    <t>事務所</t>
  </si>
  <si>
    <t>倉庫</t>
  </si>
  <si>
    <t>その他</t>
  </si>
  <si>
    <t>g</t>
  </si>
  <si>
    <t>調整係数</t>
  </si>
  <si>
    <t>A／150（㎡/台）＝</t>
  </si>
  <si>
    <t>a／3000(㎡/台)＝</t>
  </si>
  <si>
    <t>b／5000(㎡/台)＝</t>
  </si>
  <si>
    <t>c／1500(㎡/台)＝</t>
  </si>
  <si>
    <t>d／4000(㎡/台)＝</t>
  </si>
  <si>
    <t>＜附置台数＞</t>
  </si>
  <si>
    <t>小型乗用車</t>
  </si>
  <si>
    <t>普通乗用車</t>
  </si>
  <si>
    <t>車いす利用者</t>
  </si>
  <si>
    <t>荷さばき施設</t>
  </si>
  <si>
    <t>共有部分</t>
  </si>
  <si>
    <t>駐車場部分</t>
  </si>
  <si>
    <t>延床面積</t>
  </si>
  <si>
    <t>実面積</t>
  </si>
  <si>
    <t>算定面積</t>
  </si>
  <si>
    <t>備考</t>
  </si>
  <si>
    <t>(単位：㎡）</t>
  </si>
  <si>
    <t>(共有部分は、案分)</t>
  </si>
  <si>
    <t>(実面積-駐車場部分=算定面積)</t>
  </si>
  <si>
    <t>③④は、②の内数</t>
  </si>
  <si>
    <t>（駐車場整備地区、商業地域又は近隣商業地域）</t>
  </si>
  <si>
    <t>２、</t>
  </si>
  <si>
    <t>３、</t>
  </si>
  <si>
    <t>B／350（㎡/台）＝</t>
  </si>
  <si>
    <t>E</t>
  </si>
  <si>
    <t>G</t>
  </si>
  <si>
    <t>G</t>
  </si>
  <si>
    <t>２、</t>
  </si>
  <si>
    <t>A＝</t>
  </si>
  <si>
    <t>㎡＞2,000㎡</t>
  </si>
  <si>
    <t>a</t>
  </si>
  <si>
    <t>b</t>
  </si>
  <si>
    <t>c</t>
  </si>
  <si>
    <t>d</t>
  </si>
  <si>
    <t>３、</t>
  </si>
  <si>
    <t>台</t>
  </si>
  <si>
    <t>e</t>
  </si>
  <si>
    <t>g</t>
  </si>
  <si>
    <t>①</t>
  </si>
  <si>
    <t>(2.3X5.0)</t>
  </si>
  <si>
    <t>②</t>
  </si>
  <si>
    <t>(2.5X6.0)</t>
  </si>
  <si>
    <t>③</t>
  </si>
  <si>
    <t>(3.5X6.0)</t>
  </si>
  <si>
    <t>④</t>
  </si>
  <si>
    <t>(3.0X7.7X3.0)</t>
  </si>
  <si>
    <t>㎡</t>
  </si>
  <si>
    <t>１、</t>
  </si>
  <si>
    <t>施設台数</t>
  </si>
  <si>
    <t>e*f=</t>
  </si>
  <si>
    <t>施設台数(切上げ)</t>
  </si>
  <si>
    <t>E*F=</t>
  </si>
  <si>
    <t>附 置 義 務 条 例 の 駐 車 施 設 の 規 模 計 算</t>
  </si>
  <si>
    <t>G</t>
  </si>
  <si>
    <t>g</t>
  </si>
  <si>
    <t>G*0.7</t>
  </si>
  <si>
    <t>G*0.3</t>
  </si>
  <si>
    <t>特定用途+非特定用途</t>
  </si>
  <si>
    <t>割合</t>
  </si>
  <si>
    <t>C</t>
  </si>
  <si>
    <t>特定用途</t>
  </si>
  <si>
    <t>非特定用途</t>
  </si>
  <si>
    <t>A</t>
  </si>
  <si>
    <t>B</t>
  </si>
  <si>
    <t>C≧6,000㎡</t>
  </si>
  <si>
    <t>C＜6,000㎡</t>
  </si>
  <si>
    <t>※</t>
  </si>
  <si>
    <t>建築物内の駐車場面積</t>
  </si>
  <si>
    <t>(</t>
  </si>
  <si>
    <t>台）</t>
  </si>
  <si>
    <t>対象延床面積</t>
  </si>
  <si>
    <t>D</t>
  </si>
  <si>
    <t>D=特定部分の床面積(A)＋（非特定部分の床面積(B)×１／２）＝</t>
  </si>
  <si>
    <t>＞1,000㎡</t>
  </si>
  <si>
    <t>合計</t>
  </si>
  <si>
    <t>Aと一致</t>
  </si>
  <si>
    <t>f=1-(6000-C)/(2*C)</t>
  </si>
  <si>
    <t>＜一般附置＞　　　　　　　　　　　　条例別表第１より</t>
  </si>
  <si>
    <t>＜荷さばき附置＞　　　　　　　　　　　条例別表第２より</t>
  </si>
  <si>
    <t>F=1-1000*(6000-C)/(6000*D-1000*C)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</si>
</sst>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_);[Red]\(0.00\)"/>
    <numFmt numFmtId="182" formatCode="0.0_ "/>
    <numFmt numFmtId="183" formatCode="0.00_ "/>
    <numFmt numFmtId="184" formatCode="0.000_ "/>
    <numFmt numFmtId="185" formatCode="[&lt;=999]000;[&lt;=99999]000\-00;000\-0000"/>
    <numFmt numFmtId="186" formatCode="0_);\(0\)"/>
    <numFmt numFmtId="187" formatCode="0.0_);\(0.0\)"/>
    <numFmt numFmtId="188" formatCode="0.00_);\(0.00\)"/>
    <numFmt numFmtId="189" formatCode="\(0.00\)"/>
    <numFmt numFmtId="190" formatCode="0.000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0.0000000"/>
    <numFmt numFmtId="195" formatCode="0.00000000"/>
    <numFmt numFmtId="196" formatCode="[$]ggge&quot;年&quot;m&quot;月&quot;d&quot;日&quot;;@"/>
    <numFmt numFmtId="19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19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3" fontId="0" fillId="0" borderId="33" xfId="0" applyNumberForma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8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" fontId="0" fillId="0" borderId="31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1" fontId="0" fillId="0" borderId="11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3" fontId="0" fillId="34" borderId="10" xfId="0" applyNumberFormat="1" applyFill="1" applyBorder="1" applyAlignment="1">
      <alignment vertical="center"/>
    </xf>
    <xf numFmtId="183" fontId="0" fillId="34" borderId="11" xfId="0" applyNumberFormat="1" applyFill="1" applyBorder="1" applyAlignment="1">
      <alignment vertical="center"/>
    </xf>
    <xf numFmtId="183" fontId="0" fillId="34" borderId="12" xfId="0" applyNumberFormat="1" applyFill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35" borderId="10" xfId="0" applyNumberFormat="1" applyFill="1" applyBorder="1" applyAlignment="1">
      <alignment vertical="center"/>
    </xf>
    <xf numFmtId="183" fontId="0" fillId="35" borderId="11" xfId="0" applyNumberFormat="1" applyFill="1" applyBorder="1" applyAlignment="1">
      <alignment vertical="center"/>
    </xf>
    <xf numFmtId="183" fontId="0" fillId="35" borderId="12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3" fontId="0" fillId="35" borderId="33" xfId="0" applyNumberFormat="1" applyFill="1" applyBorder="1" applyAlignment="1">
      <alignment vertical="center"/>
    </xf>
    <xf numFmtId="0" fontId="0" fillId="0" borderId="33" xfId="0" applyBorder="1" applyAlignment="1">
      <alignment horizontal="left" vertical="center"/>
    </xf>
    <xf numFmtId="183" fontId="0" fillId="33" borderId="13" xfId="0" applyNumberFormat="1" applyFill="1" applyBorder="1" applyAlignment="1">
      <alignment vertical="center"/>
    </xf>
    <xf numFmtId="183" fontId="0" fillId="33" borderId="14" xfId="0" applyNumberFormat="1" applyFill="1" applyBorder="1" applyAlignment="1">
      <alignment vertical="center"/>
    </xf>
    <xf numFmtId="183" fontId="0" fillId="33" borderId="15" xfId="0" applyNumberFormat="1" applyFill="1" applyBorder="1" applyAlignment="1">
      <alignment vertical="center"/>
    </xf>
    <xf numFmtId="183" fontId="0" fillId="33" borderId="21" xfId="0" applyNumberFormat="1" applyFill="1" applyBorder="1" applyAlignment="1">
      <alignment vertical="center"/>
    </xf>
    <xf numFmtId="183" fontId="0" fillId="33" borderId="22" xfId="0" applyNumberFormat="1" applyFill="1" applyBorder="1" applyAlignment="1">
      <alignment vertical="center"/>
    </xf>
    <xf numFmtId="183" fontId="0" fillId="33" borderId="23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3" fontId="0" fillId="35" borderId="22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83" fontId="0" fillId="0" borderId="39" xfId="0" applyNumberFormat="1" applyFill="1" applyBorder="1" applyAlignment="1">
      <alignment vertical="center"/>
    </xf>
    <xf numFmtId="183" fontId="0" fillId="35" borderId="40" xfId="0" applyNumberFormat="1" applyFill="1" applyBorder="1" applyAlignment="1">
      <alignment vertical="center"/>
    </xf>
    <xf numFmtId="183" fontId="0" fillId="35" borderId="41" xfId="0" applyNumberFormat="1" applyFill="1" applyBorder="1" applyAlignment="1">
      <alignment vertical="center"/>
    </xf>
    <xf numFmtId="183" fontId="0" fillId="35" borderId="42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8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0" fontId="4" fillId="36" borderId="44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83" fontId="0" fillId="35" borderId="22" xfId="0" applyNumberFormat="1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1" fontId="0" fillId="0" borderId="19" xfId="0" applyNumberFormat="1" applyBorder="1" applyAlignment="1">
      <alignment horizontal="right" vertical="center"/>
    </xf>
    <xf numFmtId="183" fontId="0" fillId="0" borderId="19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19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38100</xdr:colOff>
      <xdr:row>1</xdr:row>
      <xdr:rowOff>28575</xdr:rowOff>
    </xdr:from>
    <xdr:ext cx="3114675" cy="409575"/>
    <xdr:sp>
      <xdr:nvSpPr>
        <xdr:cNvPr id="1" name="テキスト ボックス 3"/>
        <xdr:cNvSpPr txBox="1">
          <a:spLocks noChangeArrowheads="1"/>
        </xdr:cNvSpPr>
      </xdr:nvSpPr>
      <xdr:spPr>
        <a:xfrm>
          <a:off x="7467600" y="266700"/>
          <a:ext cx="3114675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のセルのみ手入力を行って下さい</a:t>
          </a:r>
        </a:p>
      </xdr:txBody>
    </xdr:sp>
    <xdr:clientData/>
  </xdr:oneCellAnchor>
  <xdr:twoCellAnchor>
    <xdr:from>
      <xdr:col>31</xdr:col>
      <xdr:colOff>19050</xdr:colOff>
      <xdr:row>10</xdr:row>
      <xdr:rowOff>95250</xdr:rowOff>
    </xdr:from>
    <xdr:to>
      <xdr:col>32</xdr:col>
      <xdr:colOff>200025</xdr:colOff>
      <xdr:row>10</xdr:row>
      <xdr:rowOff>95250</xdr:rowOff>
    </xdr:to>
    <xdr:sp>
      <xdr:nvSpPr>
        <xdr:cNvPr id="2" name="Line 1"/>
        <xdr:cNvSpPr>
          <a:spLocks/>
        </xdr:cNvSpPr>
      </xdr:nvSpPr>
      <xdr:spPr>
        <a:xfrm flipH="1">
          <a:off x="7210425" y="1924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1</xdr:row>
      <xdr:rowOff>66675</xdr:rowOff>
    </xdr:from>
    <xdr:to>
      <xdr:col>33</xdr:col>
      <xdr:colOff>438150</xdr:colOff>
      <xdr:row>3</xdr:row>
      <xdr:rowOff>28575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7515225" y="304800"/>
          <a:ext cx="72390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38100</xdr:colOff>
      <xdr:row>1</xdr:row>
      <xdr:rowOff>28575</xdr:rowOff>
    </xdr:from>
    <xdr:ext cx="3114675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7467600" y="266700"/>
          <a:ext cx="3114675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のセルのみ手入力を行って下さい</a:t>
          </a:r>
        </a:p>
      </xdr:txBody>
    </xdr:sp>
    <xdr:clientData/>
  </xdr:oneCellAnchor>
  <xdr:twoCellAnchor>
    <xdr:from>
      <xdr:col>31</xdr:col>
      <xdr:colOff>19050</xdr:colOff>
      <xdr:row>10</xdr:row>
      <xdr:rowOff>47625</xdr:rowOff>
    </xdr:from>
    <xdr:to>
      <xdr:col>32</xdr:col>
      <xdr:colOff>76200</xdr:colOff>
      <xdr:row>10</xdr:row>
      <xdr:rowOff>47625</xdr:rowOff>
    </xdr:to>
    <xdr:sp>
      <xdr:nvSpPr>
        <xdr:cNvPr id="2" name="Line 1"/>
        <xdr:cNvSpPr>
          <a:spLocks/>
        </xdr:cNvSpPr>
      </xdr:nvSpPr>
      <xdr:spPr>
        <a:xfrm flipH="1">
          <a:off x="7210425" y="1876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1</xdr:row>
      <xdr:rowOff>66675</xdr:rowOff>
    </xdr:from>
    <xdr:to>
      <xdr:col>33</xdr:col>
      <xdr:colOff>200025</xdr:colOff>
      <xdr:row>3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524750" y="304800"/>
          <a:ext cx="47625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showZeros="0" tabSelected="1" view="pageBreakPreview" zoomScaleSheetLayoutView="100" zoomScalePageLayoutView="0" workbookViewId="0" topLeftCell="A1">
      <selection activeCell="A1" sqref="A1:AE1"/>
    </sheetView>
  </sheetViews>
  <sheetFormatPr defaultColWidth="3.125" defaultRowHeight="13.5"/>
  <cols>
    <col min="1" max="1" width="2.125" style="1" customWidth="1"/>
    <col min="2" max="2" width="1.875" style="1" customWidth="1"/>
    <col min="3" max="15" width="3.125" style="1" customWidth="1"/>
    <col min="16" max="17" width="1.875" style="1" customWidth="1"/>
    <col min="18" max="30" width="3.125" style="1" customWidth="1"/>
    <col min="31" max="31" width="5.375" style="1" customWidth="1"/>
    <col min="32" max="32" width="3.125" style="1" customWidth="1"/>
    <col min="33" max="33" width="4.875" style="1" customWidth="1"/>
    <col min="34" max="35" width="8.625" style="1" customWidth="1"/>
    <col min="36" max="16384" width="3.125" style="1" customWidth="1"/>
  </cols>
  <sheetData>
    <row r="1" spans="1:31" ht="18.75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13.5">
      <c r="A2" s="111" t="s">
        <v>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ht="13.5"/>
    <row r="4" spans="1:31" ht="17.25">
      <c r="A4" s="94" t="s">
        <v>91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ht="13.5">
      <c r="AA5" s="1" t="s">
        <v>30</v>
      </c>
    </row>
    <row r="6" spans="1:35" ht="13.5">
      <c r="A6" s="1" t="s">
        <v>61</v>
      </c>
      <c r="B6" s="1" t="s">
        <v>0</v>
      </c>
      <c r="N6" s="67"/>
      <c r="O6" s="68"/>
      <c r="P6" s="68"/>
      <c r="Q6" s="68"/>
      <c r="R6" s="69"/>
      <c r="S6" s="55" t="s">
        <v>27</v>
      </c>
      <c r="T6" s="56"/>
      <c r="U6" s="56"/>
      <c r="V6" s="57"/>
      <c r="W6" s="55" t="s">
        <v>28</v>
      </c>
      <c r="X6" s="56"/>
      <c r="Y6" s="56"/>
      <c r="Z6" s="57"/>
      <c r="AA6" s="55" t="s">
        <v>29</v>
      </c>
      <c r="AB6" s="56"/>
      <c r="AC6" s="56"/>
      <c r="AD6" s="57"/>
      <c r="AH6" s="34">
        <f>S7+S8</f>
        <v>0</v>
      </c>
      <c r="AI6" s="1" t="s">
        <v>71</v>
      </c>
    </row>
    <row r="7" spans="2:35" ht="13.5">
      <c r="B7" s="1" t="s">
        <v>1</v>
      </c>
      <c r="N7" s="67" t="s">
        <v>4</v>
      </c>
      <c r="O7" s="68"/>
      <c r="P7" s="68"/>
      <c r="Q7" s="68"/>
      <c r="R7" s="69"/>
      <c r="S7" s="58"/>
      <c r="T7" s="59"/>
      <c r="U7" s="59"/>
      <c r="V7" s="60"/>
      <c r="W7" s="64" t="e">
        <f>S7+W9</f>
        <v>#DIV/0!</v>
      </c>
      <c r="X7" s="65"/>
      <c r="Y7" s="65"/>
      <c r="Z7" s="66"/>
      <c r="AA7" s="36" t="s">
        <v>76</v>
      </c>
      <c r="AB7" s="35"/>
      <c r="AC7" s="32"/>
      <c r="AD7" s="33"/>
      <c r="AG7" s="1" t="s">
        <v>72</v>
      </c>
      <c r="AH7" s="38" t="e">
        <f>ROUNDDOWN(S7/AH6,4)</f>
        <v>#DIV/0!</v>
      </c>
      <c r="AI7" s="1" t="e">
        <f>ROUNDDOWN(S9*AH7,2)</f>
        <v>#DIV/0!</v>
      </c>
    </row>
    <row r="8" spans="14:35" ht="13.5">
      <c r="N8" s="67" t="s">
        <v>5</v>
      </c>
      <c r="O8" s="68"/>
      <c r="P8" s="68"/>
      <c r="Q8" s="68"/>
      <c r="R8" s="69"/>
      <c r="S8" s="58"/>
      <c r="T8" s="59"/>
      <c r="U8" s="59"/>
      <c r="V8" s="60"/>
      <c r="W8" s="64" t="e">
        <f>S8+W10</f>
        <v>#DIV/0!</v>
      </c>
      <c r="X8" s="65"/>
      <c r="Y8" s="65"/>
      <c r="Z8" s="66"/>
      <c r="AA8" s="36" t="s">
        <v>77</v>
      </c>
      <c r="AB8" s="35"/>
      <c r="AC8" s="32"/>
      <c r="AD8" s="33"/>
      <c r="AH8" s="38" t="e">
        <f>ROUNDDOWN(1-AH7,4)</f>
        <v>#DIV/0!</v>
      </c>
      <c r="AI8" s="1" t="e">
        <f>S9-AI7</f>
        <v>#DIV/0!</v>
      </c>
    </row>
    <row r="9" spans="5:35" ht="13.5">
      <c r="E9" s="5" t="s">
        <v>31</v>
      </c>
      <c r="N9" s="82" t="s">
        <v>24</v>
      </c>
      <c r="O9" s="83"/>
      <c r="P9" s="83"/>
      <c r="Q9" s="83"/>
      <c r="R9" s="84"/>
      <c r="S9" s="72"/>
      <c r="T9" s="73"/>
      <c r="U9" s="73"/>
      <c r="V9" s="74"/>
      <c r="W9" s="64" t="e">
        <f>AI7</f>
        <v>#DIV/0!</v>
      </c>
      <c r="X9" s="65"/>
      <c r="Y9" s="65"/>
      <c r="Z9" s="66"/>
      <c r="AA9" s="115" t="s">
        <v>74</v>
      </c>
      <c r="AB9" s="116"/>
      <c r="AC9" s="116"/>
      <c r="AD9" s="117"/>
      <c r="AI9" s="1" t="e">
        <f>SUM(AI7:AI8)</f>
        <v>#DIV/0!</v>
      </c>
    </row>
    <row r="10" spans="5:30" ht="13.5">
      <c r="E10" s="39" t="s">
        <v>32</v>
      </c>
      <c r="G10" s="5"/>
      <c r="N10" s="119"/>
      <c r="O10" s="120"/>
      <c r="P10" s="120"/>
      <c r="Q10" s="120"/>
      <c r="R10" s="121"/>
      <c r="S10" s="75"/>
      <c r="T10" s="76"/>
      <c r="U10" s="76"/>
      <c r="V10" s="77"/>
      <c r="W10" s="64" t="e">
        <f>AI8</f>
        <v>#DIV/0!</v>
      </c>
      <c r="X10" s="65"/>
      <c r="Y10" s="65"/>
      <c r="Z10" s="66"/>
      <c r="AA10" s="118" t="s">
        <v>75</v>
      </c>
      <c r="AB10" s="116"/>
      <c r="AC10" s="116"/>
      <c r="AD10" s="117"/>
    </row>
    <row r="11" spans="14:34" ht="13.5">
      <c r="N11" s="67" t="s">
        <v>25</v>
      </c>
      <c r="O11" s="68"/>
      <c r="P11" s="68"/>
      <c r="Q11" s="68"/>
      <c r="R11" s="69"/>
      <c r="S11" s="58"/>
      <c r="T11" s="59"/>
      <c r="U11" s="59"/>
      <c r="V11" s="60"/>
      <c r="W11" s="88"/>
      <c r="X11" s="89"/>
      <c r="Y11" s="89"/>
      <c r="Z11" s="90"/>
      <c r="AA11" s="2"/>
      <c r="AB11" s="3"/>
      <c r="AC11" s="3"/>
      <c r="AD11" s="4"/>
      <c r="AG11" s="37" t="s">
        <v>80</v>
      </c>
      <c r="AH11" s="1" t="s">
        <v>81</v>
      </c>
    </row>
    <row r="12" spans="14:30" ht="13.5">
      <c r="N12" s="67" t="s">
        <v>26</v>
      </c>
      <c r="O12" s="68"/>
      <c r="P12" s="68"/>
      <c r="Q12" s="68"/>
      <c r="R12" s="69"/>
      <c r="S12" s="61">
        <f>SUM(S7:V11)</f>
        <v>0</v>
      </c>
      <c r="T12" s="62"/>
      <c r="U12" s="62"/>
      <c r="V12" s="63"/>
      <c r="W12" s="64" t="e">
        <f>SUM(W7:Z8)</f>
        <v>#DIV/0!</v>
      </c>
      <c r="X12" s="65"/>
      <c r="Y12" s="65"/>
      <c r="Z12" s="66"/>
      <c r="AA12" s="2" t="s">
        <v>73</v>
      </c>
      <c r="AB12" s="3"/>
      <c r="AC12" s="3"/>
      <c r="AD12" s="4"/>
    </row>
    <row r="13" spans="14:30" ht="13.5">
      <c r="N13" s="71" t="s">
        <v>84</v>
      </c>
      <c r="O13" s="71"/>
      <c r="P13" s="71"/>
      <c r="Q13" s="71"/>
      <c r="R13" s="71"/>
      <c r="S13" s="87"/>
      <c r="T13" s="87"/>
      <c r="U13" s="87"/>
      <c r="V13" s="87"/>
      <c r="W13" s="70" t="e">
        <f>ROUND(W7+(W8*0.5),2)</f>
        <v>#DIV/0!</v>
      </c>
      <c r="X13" s="70"/>
      <c r="Y13" s="70"/>
      <c r="Z13" s="70"/>
      <c r="AA13" s="71" t="s">
        <v>85</v>
      </c>
      <c r="AB13" s="71"/>
      <c r="AC13" s="71"/>
      <c r="AD13" s="71"/>
    </row>
    <row r="14" spans="1:2" ht="13.5">
      <c r="A14" s="1" t="s">
        <v>35</v>
      </c>
      <c r="B14" s="1" t="s">
        <v>2</v>
      </c>
    </row>
    <row r="15" ht="13.5"/>
    <row r="16" spans="1:25" ht="13.5">
      <c r="A16" s="1" t="s">
        <v>86</v>
      </c>
      <c r="S16" s="50"/>
      <c r="T16" s="85" t="e">
        <f>W13</f>
        <v>#DIV/0!</v>
      </c>
      <c r="U16" s="85"/>
      <c r="V16" s="85"/>
      <c r="W16" s="85"/>
      <c r="X16" s="1" t="s">
        <v>60</v>
      </c>
      <c r="Y16" s="1" t="s">
        <v>87</v>
      </c>
    </row>
    <row r="17" ht="13.5"/>
    <row r="18" spans="1:2" ht="13.5">
      <c r="A18" s="1" t="s">
        <v>36</v>
      </c>
      <c r="B18" s="1" t="s">
        <v>3</v>
      </c>
    </row>
    <row r="19" ht="13.5"/>
    <row r="20" spans="2:31" ht="13.5">
      <c r="B20" s="6"/>
      <c r="C20" s="7"/>
      <c r="D20" s="7" t="s">
        <v>78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6"/>
      <c r="R20" s="7"/>
      <c r="S20" s="7" t="s">
        <v>79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/>
    </row>
    <row r="21" spans="2:31" ht="13.5">
      <c r="B21" s="9"/>
      <c r="C21" s="10" t="s">
        <v>4</v>
      </c>
      <c r="D21" s="10"/>
      <c r="E21" s="10"/>
      <c r="F21" s="10"/>
      <c r="G21" s="10" t="s">
        <v>14</v>
      </c>
      <c r="H21" s="10"/>
      <c r="I21" s="10"/>
      <c r="J21" s="10"/>
      <c r="K21" s="10"/>
      <c r="L21" s="103" t="e">
        <f>IF(W12&gt;=6000,W7/150,0)</f>
        <v>#DIV/0!</v>
      </c>
      <c r="M21" s="103"/>
      <c r="N21" s="103"/>
      <c r="O21" s="10" t="s">
        <v>7</v>
      </c>
      <c r="P21" s="11"/>
      <c r="Q21" s="9"/>
      <c r="R21" s="10" t="s">
        <v>4</v>
      </c>
      <c r="S21" s="10"/>
      <c r="T21" s="10"/>
      <c r="U21" s="10"/>
      <c r="V21" s="10" t="s">
        <v>14</v>
      </c>
      <c r="W21" s="10"/>
      <c r="X21" s="10"/>
      <c r="Y21" s="10"/>
      <c r="Z21" s="10"/>
      <c r="AA21" s="103" t="e">
        <f>IF(W12&lt;6000,W7/150,0)</f>
        <v>#DIV/0!</v>
      </c>
      <c r="AB21" s="103"/>
      <c r="AC21" s="103"/>
      <c r="AD21" s="10" t="s">
        <v>7</v>
      </c>
      <c r="AE21" s="11"/>
    </row>
    <row r="22" spans="2:31" ht="13.5">
      <c r="B22" s="9"/>
      <c r="C22" s="10" t="s">
        <v>5</v>
      </c>
      <c r="D22" s="10"/>
      <c r="E22" s="10"/>
      <c r="F22" s="10"/>
      <c r="G22" s="10" t="s">
        <v>37</v>
      </c>
      <c r="H22" s="10"/>
      <c r="I22" s="10"/>
      <c r="J22" s="10"/>
      <c r="K22" s="10"/>
      <c r="L22" s="103" t="e">
        <f>IF(W12&gt;=6000,W8/350,0)</f>
        <v>#DIV/0!</v>
      </c>
      <c r="M22" s="103"/>
      <c r="N22" s="103"/>
      <c r="O22" s="10" t="s">
        <v>7</v>
      </c>
      <c r="P22" s="11"/>
      <c r="Q22" s="9"/>
      <c r="R22" s="10" t="s">
        <v>5</v>
      </c>
      <c r="S22" s="10"/>
      <c r="T22" s="10"/>
      <c r="U22" s="10"/>
      <c r="V22" s="10" t="s">
        <v>37</v>
      </c>
      <c r="W22" s="10"/>
      <c r="X22" s="10"/>
      <c r="Y22" s="10"/>
      <c r="Z22" s="10"/>
      <c r="AA22" s="103" t="e">
        <f>IF(W12&lt;6000,W8/350,0)</f>
        <v>#DIV/0!</v>
      </c>
      <c r="AB22" s="103"/>
      <c r="AC22" s="103"/>
      <c r="AD22" s="10" t="s">
        <v>7</v>
      </c>
      <c r="AE22" s="11"/>
    </row>
    <row r="23" spans="2:31" ht="14.25" thickBot="1">
      <c r="B23" s="9"/>
      <c r="C23" s="10"/>
      <c r="D23" s="10"/>
      <c r="E23" s="10" t="s">
        <v>6</v>
      </c>
      <c r="F23" s="10"/>
      <c r="G23" s="10"/>
      <c r="H23" s="10"/>
      <c r="I23" s="10"/>
      <c r="J23" s="10"/>
      <c r="K23" s="10"/>
      <c r="L23" s="103" t="e">
        <f>IF(W12&gt;=6000,L21+L22,0)</f>
        <v>#DIV/0!</v>
      </c>
      <c r="M23" s="103"/>
      <c r="N23" s="103"/>
      <c r="O23" s="10" t="s">
        <v>7</v>
      </c>
      <c r="P23" s="11"/>
      <c r="Q23" s="9"/>
      <c r="R23" s="10"/>
      <c r="S23" s="10"/>
      <c r="T23" s="10" t="s">
        <v>6</v>
      </c>
      <c r="U23" s="10"/>
      <c r="V23" s="10"/>
      <c r="W23" s="10"/>
      <c r="X23" s="10"/>
      <c r="Y23" s="10"/>
      <c r="Z23" s="10"/>
      <c r="AA23" s="103" t="e">
        <f>IF(W12&lt;6000,AA21+AA22,0)</f>
        <v>#DIV/0!</v>
      </c>
      <c r="AB23" s="103"/>
      <c r="AC23" s="103"/>
      <c r="AD23" s="10" t="s">
        <v>7</v>
      </c>
      <c r="AE23" s="11" t="s">
        <v>38</v>
      </c>
    </row>
    <row r="24" spans="2:31" ht="14.25" thickBot="1">
      <c r="B24" s="9"/>
      <c r="C24" s="12" t="s">
        <v>64</v>
      </c>
      <c r="D24" s="13"/>
      <c r="E24" s="13"/>
      <c r="F24" s="13"/>
      <c r="G24" s="13"/>
      <c r="H24" s="13"/>
      <c r="I24" s="13"/>
      <c r="J24" s="13"/>
      <c r="K24" s="13"/>
      <c r="L24" s="86" t="e">
        <f>IF(W12&gt;=6000,ROUNDUP(L23,0),0)</f>
        <v>#DIV/0!</v>
      </c>
      <c r="M24" s="86"/>
      <c r="N24" s="86"/>
      <c r="O24" s="14" t="s">
        <v>7</v>
      </c>
      <c r="P24" s="11"/>
      <c r="Q24" s="9"/>
      <c r="R24" s="15" t="s">
        <v>13</v>
      </c>
      <c r="S24" s="15"/>
      <c r="T24" s="15"/>
      <c r="U24" s="15" t="s">
        <v>93</v>
      </c>
      <c r="V24" s="10"/>
      <c r="W24" s="10"/>
      <c r="X24" s="10"/>
      <c r="Y24" s="10"/>
      <c r="Z24" s="10"/>
      <c r="AA24" s="10"/>
      <c r="AB24" s="10"/>
      <c r="AC24" s="10"/>
      <c r="AD24" s="10"/>
      <c r="AE24" s="11"/>
    </row>
    <row r="25" spans="2:31" ht="14.25" thickBo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">
        <v>39</v>
      </c>
      <c r="P25" s="11"/>
      <c r="Q25" s="9"/>
      <c r="R25" s="15"/>
      <c r="S25" s="15"/>
      <c r="T25" s="15"/>
      <c r="U25" s="15" t="e">
        <f>IF(W12&lt;6000,"=1-1000*(6000-"&amp;FIXED(W12,2)&amp;")/(6000*"&amp;FIXED(T16,2)&amp;"-1000*"&amp;FIXED(W12,2)&amp;")",0)</f>
        <v>#DIV/0!</v>
      </c>
      <c r="V25" s="10"/>
      <c r="W25" s="10"/>
      <c r="X25" s="10"/>
      <c r="Y25" s="10"/>
      <c r="Z25" s="10"/>
      <c r="AA25" s="10"/>
      <c r="AB25" s="10"/>
      <c r="AC25" s="10"/>
      <c r="AD25" s="10"/>
      <c r="AE25" s="11"/>
    </row>
    <row r="26" spans="2:31" ht="14.25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9"/>
      <c r="R26" s="12" t="s">
        <v>64</v>
      </c>
      <c r="S26" s="13"/>
      <c r="T26" s="13"/>
      <c r="U26" s="13"/>
      <c r="V26" s="13"/>
      <c r="W26" s="13" t="s">
        <v>65</v>
      </c>
      <c r="X26" s="13"/>
      <c r="Y26" s="107" t="e">
        <f>IF(W12=0,0,IF(W12&lt;6000,AA23*((1-1000*(6000-W12)/(6000*T16-1000*W12))),0))</f>
        <v>#DIV/0!</v>
      </c>
      <c r="Z26" s="107"/>
      <c r="AA26" s="13" t="e">
        <f>IF(W12&lt;6000,"≒","")</f>
        <v>#DIV/0!</v>
      </c>
      <c r="AB26" s="108" t="e">
        <f>IF(W12&lt;6000,(ROUNDUP(Y26,0)),0)</f>
        <v>#DIV/0!</v>
      </c>
      <c r="AC26" s="86"/>
      <c r="AD26" s="14" t="s">
        <v>7</v>
      </c>
      <c r="AE26" s="11" t="s">
        <v>40</v>
      </c>
    </row>
    <row r="27" spans="2:31" ht="13.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8"/>
    </row>
    <row r="28" spans="2:31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7.25">
      <c r="A29" s="94" t="s">
        <v>92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ht="13.5"/>
    <row r="31" spans="1:25" ht="13.5">
      <c r="A31" s="1" t="s">
        <v>41</v>
      </c>
      <c r="B31" s="1" t="s">
        <v>2</v>
      </c>
      <c r="N31" s="1" t="s">
        <v>4</v>
      </c>
      <c r="S31" s="1" t="s">
        <v>42</v>
      </c>
      <c r="V31" s="104" t="e">
        <f>W7</f>
        <v>#DIV/0!</v>
      </c>
      <c r="W31" s="105"/>
      <c r="X31" s="105"/>
      <c r="Y31" s="1" t="s">
        <v>43</v>
      </c>
    </row>
    <row r="32" spans="14:30" ht="13.5">
      <c r="N32" s="79" t="s">
        <v>8</v>
      </c>
      <c r="O32" s="80"/>
      <c r="P32" s="80"/>
      <c r="Q32" s="80"/>
      <c r="R32" s="81"/>
      <c r="S32" s="91"/>
      <c r="T32" s="92"/>
      <c r="U32" s="92"/>
      <c r="V32" s="92"/>
      <c r="W32" s="92"/>
      <c r="X32" s="92"/>
      <c r="Y32" s="92"/>
      <c r="Z32" s="93"/>
      <c r="AA32" s="2" t="s">
        <v>44</v>
      </c>
      <c r="AB32" s="3"/>
      <c r="AC32" s="3"/>
      <c r="AD32" s="4"/>
    </row>
    <row r="33" spans="14:30" ht="13.5">
      <c r="N33" s="79" t="s">
        <v>9</v>
      </c>
      <c r="O33" s="80"/>
      <c r="P33" s="80"/>
      <c r="Q33" s="80"/>
      <c r="R33" s="81"/>
      <c r="S33" s="91"/>
      <c r="T33" s="92"/>
      <c r="U33" s="92"/>
      <c r="V33" s="92"/>
      <c r="W33" s="92"/>
      <c r="X33" s="92"/>
      <c r="Y33" s="92"/>
      <c r="Z33" s="93"/>
      <c r="AA33" s="2" t="s">
        <v>45</v>
      </c>
      <c r="AB33" s="3"/>
      <c r="AC33" s="3"/>
      <c r="AD33" s="4"/>
    </row>
    <row r="34" spans="14:30" ht="13.5">
      <c r="N34" s="79" t="s">
        <v>10</v>
      </c>
      <c r="O34" s="80"/>
      <c r="P34" s="80"/>
      <c r="Q34" s="80"/>
      <c r="R34" s="81"/>
      <c r="S34" s="91"/>
      <c r="T34" s="92"/>
      <c r="U34" s="92"/>
      <c r="V34" s="92"/>
      <c r="W34" s="92"/>
      <c r="X34" s="92"/>
      <c r="Y34" s="92"/>
      <c r="Z34" s="93"/>
      <c r="AA34" s="2" t="s">
        <v>46</v>
      </c>
      <c r="AB34" s="3"/>
      <c r="AC34" s="3"/>
      <c r="AD34" s="4"/>
    </row>
    <row r="35" spans="14:30" ht="14.25" thickBot="1">
      <c r="N35" s="82" t="s">
        <v>11</v>
      </c>
      <c r="O35" s="83"/>
      <c r="P35" s="83"/>
      <c r="Q35" s="83"/>
      <c r="R35" s="84"/>
      <c r="S35" s="112"/>
      <c r="T35" s="113"/>
      <c r="U35" s="113"/>
      <c r="V35" s="113"/>
      <c r="W35" s="113"/>
      <c r="X35" s="113"/>
      <c r="Y35" s="113"/>
      <c r="Z35" s="114"/>
      <c r="AA35" s="6" t="s">
        <v>47</v>
      </c>
      <c r="AB35" s="7"/>
      <c r="AC35" s="7"/>
      <c r="AD35" s="8"/>
    </row>
    <row r="36" spans="14:30" ht="14.25" thickBot="1">
      <c r="N36" s="95" t="s">
        <v>88</v>
      </c>
      <c r="O36" s="96"/>
      <c r="P36" s="96"/>
      <c r="Q36" s="96"/>
      <c r="R36" s="97"/>
      <c r="S36" s="98">
        <f>SUM(S32:Z35)</f>
        <v>0</v>
      </c>
      <c r="T36" s="99"/>
      <c r="U36" s="99"/>
      <c r="V36" s="99"/>
      <c r="W36" s="99"/>
      <c r="X36" s="99"/>
      <c r="Y36" s="99"/>
      <c r="Z36" s="100"/>
      <c r="AA36" s="51" t="s">
        <v>89</v>
      </c>
      <c r="AB36" s="13"/>
      <c r="AC36" s="13"/>
      <c r="AD36" s="14"/>
    </row>
    <row r="37" spans="1:2" ht="13.5">
      <c r="A37" s="1" t="s">
        <v>48</v>
      </c>
      <c r="B37" s="1" t="s">
        <v>3</v>
      </c>
    </row>
    <row r="38" spans="2:31" ht="13.5">
      <c r="B38" s="6"/>
      <c r="C38" s="7"/>
      <c r="D38" s="7" t="s">
        <v>78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  <c r="Q38" s="6"/>
      <c r="R38" s="7"/>
      <c r="S38" s="7" t="s">
        <v>79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</row>
    <row r="39" spans="2:31" ht="13.5">
      <c r="B39" s="9"/>
      <c r="C39" s="10" t="s">
        <v>8</v>
      </c>
      <c r="D39" s="10"/>
      <c r="E39" s="10"/>
      <c r="F39" s="10"/>
      <c r="G39" s="10" t="s">
        <v>15</v>
      </c>
      <c r="H39" s="10"/>
      <c r="I39" s="10"/>
      <c r="J39" s="10"/>
      <c r="K39" s="10"/>
      <c r="L39" s="103" t="e">
        <f>IF(W12&gt;=6000,S32/3000,0)</f>
        <v>#DIV/0!</v>
      </c>
      <c r="M39" s="103"/>
      <c r="N39" s="103"/>
      <c r="O39" s="10" t="s">
        <v>7</v>
      </c>
      <c r="P39" s="11"/>
      <c r="Q39" s="9"/>
      <c r="R39" s="10" t="s">
        <v>8</v>
      </c>
      <c r="S39" s="10"/>
      <c r="T39" s="10"/>
      <c r="U39" s="10"/>
      <c r="V39" s="10" t="s">
        <v>15</v>
      </c>
      <c r="W39" s="10"/>
      <c r="X39" s="10"/>
      <c r="Y39" s="10"/>
      <c r="Z39" s="10"/>
      <c r="AA39" s="103" t="e">
        <f>IF(AND(W12&gt;0,W12&lt;6000),S32/3000,0)</f>
        <v>#DIV/0!</v>
      </c>
      <c r="AB39" s="103"/>
      <c r="AC39" s="103"/>
      <c r="AD39" s="10" t="s">
        <v>7</v>
      </c>
      <c r="AE39" s="11"/>
    </row>
    <row r="40" spans="2:31" ht="13.5">
      <c r="B40" s="9"/>
      <c r="C40" s="10" t="s">
        <v>9</v>
      </c>
      <c r="D40" s="10"/>
      <c r="E40" s="10"/>
      <c r="F40" s="10"/>
      <c r="G40" s="10" t="s">
        <v>16</v>
      </c>
      <c r="H40" s="10"/>
      <c r="I40" s="10"/>
      <c r="J40" s="10"/>
      <c r="K40" s="10"/>
      <c r="L40" s="103" t="e">
        <f>IF(AND(W12&gt;0,W12&gt;=6000),S33/5000,0)</f>
        <v>#DIV/0!</v>
      </c>
      <c r="M40" s="103"/>
      <c r="N40" s="103"/>
      <c r="O40" s="10" t="s">
        <v>7</v>
      </c>
      <c r="P40" s="11"/>
      <c r="Q40" s="9"/>
      <c r="R40" s="10" t="s">
        <v>9</v>
      </c>
      <c r="S40" s="10"/>
      <c r="T40" s="10"/>
      <c r="U40" s="10"/>
      <c r="V40" s="10" t="s">
        <v>16</v>
      </c>
      <c r="W40" s="10"/>
      <c r="X40" s="10"/>
      <c r="Y40" s="10"/>
      <c r="Z40" s="10"/>
      <c r="AA40" s="103" t="e">
        <f>IF(AND(W12&gt;0,W12&lt;6000),S33/5000,0)</f>
        <v>#DIV/0!</v>
      </c>
      <c r="AB40" s="103"/>
      <c r="AC40" s="103"/>
      <c r="AD40" s="10" t="s">
        <v>7</v>
      </c>
      <c r="AE40" s="11"/>
    </row>
    <row r="41" spans="2:31" ht="13.5">
      <c r="B41" s="9"/>
      <c r="C41" s="10" t="s">
        <v>10</v>
      </c>
      <c r="D41" s="10"/>
      <c r="E41" s="10"/>
      <c r="F41" s="10"/>
      <c r="G41" s="10" t="s">
        <v>17</v>
      </c>
      <c r="H41" s="10"/>
      <c r="I41" s="10"/>
      <c r="J41" s="10"/>
      <c r="K41" s="10"/>
      <c r="L41" s="103" t="e">
        <f>IF(AND(W12&gt;0,W12&gt;=6000),S34/1500,0)</f>
        <v>#DIV/0!</v>
      </c>
      <c r="M41" s="103"/>
      <c r="N41" s="103"/>
      <c r="O41" s="10" t="s">
        <v>7</v>
      </c>
      <c r="P41" s="11"/>
      <c r="Q41" s="9"/>
      <c r="R41" s="10" t="s">
        <v>10</v>
      </c>
      <c r="S41" s="10"/>
      <c r="T41" s="10"/>
      <c r="U41" s="10"/>
      <c r="V41" s="10" t="s">
        <v>17</v>
      </c>
      <c r="W41" s="10"/>
      <c r="X41" s="10"/>
      <c r="Y41" s="10"/>
      <c r="Z41" s="10"/>
      <c r="AA41" s="103" t="e">
        <f>IF(AND(W12&gt;0,W12&lt;6000),S34/1500,0)</f>
        <v>#DIV/0!</v>
      </c>
      <c r="AB41" s="103"/>
      <c r="AC41" s="103"/>
      <c r="AD41" s="10" t="s">
        <v>7</v>
      </c>
      <c r="AE41" s="11"/>
    </row>
    <row r="42" spans="2:31" ht="13.5">
      <c r="B42" s="9"/>
      <c r="C42" s="10" t="s">
        <v>11</v>
      </c>
      <c r="D42" s="10"/>
      <c r="E42" s="10"/>
      <c r="F42" s="10"/>
      <c r="G42" s="10" t="s">
        <v>18</v>
      </c>
      <c r="H42" s="10"/>
      <c r="I42" s="10"/>
      <c r="J42" s="10"/>
      <c r="K42" s="10"/>
      <c r="L42" s="103" t="e">
        <f>IF(AND(W12&gt;0,W12&gt;=6000),S35/4000,0)</f>
        <v>#DIV/0!</v>
      </c>
      <c r="M42" s="103"/>
      <c r="N42" s="103"/>
      <c r="O42" s="10" t="s">
        <v>7</v>
      </c>
      <c r="P42" s="11"/>
      <c r="Q42" s="9"/>
      <c r="R42" s="10" t="s">
        <v>11</v>
      </c>
      <c r="S42" s="10"/>
      <c r="T42" s="10"/>
      <c r="U42" s="10"/>
      <c r="V42" s="10" t="s">
        <v>18</v>
      </c>
      <c r="W42" s="10"/>
      <c r="X42" s="10"/>
      <c r="Y42" s="10"/>
      <c r="Z42" s="10"/>
      <c r="AA42" s="103" t="e">
        <f>IF(AND(W12&gt;0,W12&lt;6000),S35/4000,0)</f>
        <v>#DIV/0!</v>
      </c>
      <c r="AB42" s="103"/>
      <c r="AC42" s="103"/>
      <c r="AD42" s="10" t="s">
        <v>7</v>
      </c>
      <c r="AE42" s="11"/>
    </row>
    <row r="43" spans="2:31" ht="14.25" thickBot="1">
      <c r="B43" s="9"/>
      <c r="C43" s="10"/>
      <c r="D43" s="10" t="s">
        <v>6</v>
      </c>
      <c r="E43" s="10"/>
      <c r="F43" s="10"/>
      <c r="G43" s="10"/>
      <c r="H43" s="10"/>
      <c r="I43" s="10"/>
      <c r="J43" s="10"/>
      <c r="K43" s="10"/>
      <c r="L43" s="103" t="e">
        <f>IF(AND(W12&gt;0,W12&gt;=6000),L39+L40+L41+L42,0)</f>
        <v>#DIV/0!</v>
      </c>
      <c r="M43" s="103"/>
      <c r="N43" s="103"/>
      <c r="O43" s="10" t="s">
        <v>49</v>
      </c>
      <c r="P43" s="11"/>
      <c r="Q43" s="9"/>
      <c r="R43" s="10"/>
      <c r="S43" s="10" t="s">
        <v>6</v>
      </c>
      <c r="T43" s="10"/>
      <c r="U43" s="10"/>
      <c r="V43" s="10"/>
      <c r="W43" s="10"/>
      <c r="X43" s="10"/>
      <c r="Y43" s="10"/>
      <c r="Z43" s="10"/>
      <c r="AA43" s="103" t="e">
        <f>IF(AND(W12&gt;0,W12&lt;6000),AA39+AA40+AA41+AA42,0)</f>
        <v>#DIV/0!</v>
      </c>
      <c r="AB43" s="103"/>
      <c r="AC43" s="103"/>
      <c r="AD43" s="10" t="s">
        <v>49</v>
      </c>
      <c r="AE43" s="11" t="s">
        <v>50</v>
      </c>
    </row>
    <row r="44" spans="2:31" ht="14.25" thickBot="1">
      <c r="B44" s="9"/>
      <c r="C44" s="12" t="s">
        <v>64</v>
      </c>
      <c r="D44" s="13"/>
      <c r="E44" s="13"/>
      <c r="F44" s="13"/>
      <c r="G44" s="13"/>
      <c r="H44" s="13"/>
      <c r="I44" s="13"/>
      <c r="J44" s="13"/>
      <c r="K44" s="13"/>
      <c r="L44" s="86" t="e">
        <f>IF(L43&gt;0,ROUNDUP(L43,0),0)</f>
        <v>#DIV/0!</v>
      </c>
      <c r="M44" s="86"/>
      <c r="N44" s="86"/>
      <c r="O44" s="14" t="s">
        <v>7</v>
      </c>
      <c r="P44" s="11"/>
      <c r="Q44" s="9"/>
      <c r="R44" s="10" t="s">
        <v>13</v>
      </c>
      <c r="S44" s="10"/>
      <c r="T44" s="10"/>
      <c r="U44" s="10" t="s">
        <v>90</v>
      </c>
      <c r="V44" s="10"/>
      <c r="W44" s="10"/>
      <c r="X44" s="10"/>
      <c r="Y44" s="10"/>
      <c r="Z44" s="10"/>
      <c r="AA44" s="10"/>
      <c r="AB44" s="10"/>
      <c r="AC44" s="10"/>
      <c r="AD44" s="10"/>
      <c r="AE44" s="11"/>
    </row>
    <row r="45" spans="2:31" ht="14.25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 t="s">
        <v>51</v>
      </c>
      <c r="P45" s="11"/>
      <c r="Q45" s="9"/>
      <c r="R45" s="10"/>
      <c r="S45" s="10"/>
      <c r="T45" s="10"/>
      <c r="U45" s="19" t="e">
        <f>IF(AND(W12&gt;0,W12&lt;6000),"=1-(6000-"&amp;FIXED(W12,2)&amp;")/(2*"&amp;FIXED(W12,2)&amp;")",0)</f>
        <v>#DIV/0!</v>
      </c>
      <c r="V45" s="10"/>
      <c r="W45" s="10"/>
      <c r="X45" s="10"/>
      <c r="Y45" s="10"/>
      <c r="Z45" s="10"/>
      <c r="AA45" s="10"/>
      <c r="AB45" s="10"/>
      <c r="AC45" s="10"/>
      <c r="AD45" s="10"/>
      <c r="AE45" s="11"/>
    </row>
    <row r="46" spans="2:31" ht="14.25" thickBo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9"/>
      <c r="R46" s="12" t="s">
        <v>64</v>
      </c>
      <c r="S46" s="13"/>
      <c r="T46" s="13"/>
      <c r="U46" s="13"/>
      <c r="V46" s="13"/>
      <c r="W46" s="13" t="s">
        <v>63</v>
      </c>
      <c r="X46" s="13"/>
      <c r="Y46" s="122" t="e">
        <f>IF(AND(W12&gt;0,W12&lt;6000),AA43*(1-(6000-W12)/(2*W12)),0)</f>
        <v>#DIV/0!</v>
      </c>
      <c r="Z46" s="122"/>
      <c r="AA46" s="20" t="e">
        <f>IF(W12&lt;6000,"≒","")</f>
        <v>#DIV/0!</v>
      </c>
      <c r="AB46" s="106" t="e">
        <f>IF(AND(W12&gt;0,W12&lt;6000),ROUNDUP(Y46,0),0)</f>
        <v>#DIV/0!</v>
      </c>
      <c r="AC46" s="106"/>
      <c r="AD46" s="14" t="s">
        <v>7</v>
      </c>
      <c r="AE46" s="11" t="s">
        <v>12</v>
      </c>
    </row>
    <row r="47" spans="2:31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8"/>
    </row>
    <row r="48" spans="2:31" ht="13.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6:27" ht="18" thickBot="1">
      <c r="F49" s="102" t="s">
        <v>19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</row>
    <row r="50" spans="6:27" ht="13.5">
      <c r="F50" s="21" t="s">
        <v>62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 t="s">
        <v>67</v>
      </c>
      <c r="S50" s="22"/>
      <c r="T50" s="22"/>
      <c r="U50" s="109" t="e">
        <f>IF(L24=0,AB26,L24)</f>
        <v>#DIV/0!</v>
      </c>
      <c r="V50" s="109"/>
      <c r="W50" s="22" t="s">
        <v>7</v>
      </c>
      <c r="X50" s="23"/>
      <c r="Y50" s="23"/>
      <c r="Z50" s="23"/>
      <c r="AA50" s="24"/>
    </row>
    <row r="51" spans="6:27" ht="13.5">
      <c r="F51" s="25"/>
      <c r="G51" s="2" t="s">
        <v>52</v>
      </c>
      <c r="H51" s="3" t="s">
        <v>20</v>
      </c>
      <c r="I51" s="3"/>
      <c r="J51" s="3"/>
      <c r="K51" s="3"/>
      <c r="L51" s="3" t="s">
        <v>53</v>
      </c>
      <c r="M51" s="3"/>
      <c r="N51" s="3"/>
      <c r="O51" s="3"/>
      <c r="P51" s="3"/>
      <c r="Q51" s="3"/>
      <c r="R51" s="3" t="s">
        <v>69</v>
      </c>
      <c r="S51" s="3"/>
      <c r="T51" s="3"/>
      <c r="U51" s="80" t="e">
        <f>U50-V52</f>
        <v>#DIV/0!</v>
      </c>
      <c r="V51" s="80"/>
      <c r="W51" s="3" t="s">
        <v>7</v>
      </c>
      <c r="X51" s="3"/>
      <c r="Y51" s="3"/>
      <c r="Z51" s="3"/>
      <c r="AA51" s="26"/>
    </row>
    <row r="52" spans="6:27" ht="13.5">
      <c r="F52" s="25"/>
      <c r="G52" s="6" t="s">
        <v>54</v>
      </c>
      <c r="H52" s="3" t="s">
        <v>21</v>
      </c>
      <c r="I52" s="3"/>
      <c r="J52" s="3"/>
      <c r="K52" s="3"/>
      <c r="L52" s="3" t="s">
        <v>55</v>
      </c>
      <c r="M52" s="3"/>
      <c r="N52" s="3"/>
      <c r="O52" s="3"/>
      <c r="P52" s="3"/>
      <c r="Q52" s="3"/>
      <c r="R52" s="3" t="s">
        <v>70</v>
      </c>
      <c r="S52" s="3"/>
      <c r="T52" s="3"/>
      <c r="U52" s="3"/>
      <c r="V52" s="3" t="e">
        <f>ROUNDUP(IF(L24=0,AB26*0.3,L24*0.3),0)</f>
        <v>#DIV/0!</v>
      </c>
      <c r="W52" s="3" t="s">
        <v>7</v>
      </c>
      <c r="X52" s="41" t="s">
        <v>82</v>
      </c>
      <c r="Y52" s="53" t="e">
        <f>V52-(Y53+Y54)</f>
        <v>#DIV/0!</v>
      </c>
      <c r="Z52" s="5" t="s">
        <v>83</v>
      </c>
      <c r="AA52" s="27"/>
    </row>
    <row r="53" spans="6:27" ht="13.5">
      <c r="F53" s="45"/>
      <c r="G53" s="47"/>
      <c r="H53" s="2" t="s">
        <v>56</v>
      </c>
      <c r="I53" s="3" t="s">
        <v>22</v>
      </c>
      <c r="J53" s="3"/>
      <c r="K53" s="3"/>
      <c r="L53" s="3"/>
      <c r="M53" s="3" t="s">
        <v>57</v>
      </c>
      <c r="N53" s="3"/>
      <c r="O53" s="3"/>
      <c r="P53" s="3"/>
      <c r="Q53" s="3"/>
      <c r="R53" s="3"/>
      <c r="S53" s="3"/>
      <c r="T53" s="3"/>
      <c r="U53" s="40"/>
      <c r="V53" s="40"/>
      <c r="W53" s="3"/>
      <c r="X53" s="41" t="s">
        <v>82</v>
      </c>
      <c r="Y53" s="52">
        <v>1</v>
      </c>
      <c r="Z53" s="42" t="s">
        <v>83</v>
      </c>
      <c r="AA53" s="26"/>
    </row>
    <row r="54" spans="6:27" ht="13.5" thickBot="1">
      <c r="F54" s="46"/>
      <c r="G54" s="48"/>
      <c r="H54" s="28" t="s">
        <v>58</v>
      </c>
      <c r="I54" s="29" t="s">
        <v>23</v>
      </c>
      <c r="J54" s="29"/>
      <c r="K54" s="29"/>
      <c r="L54" s="29"/>
      <c r="M54" s="29" t="s">
        <v>59</v>
      </c>
      <c r="N54" s="29"/>
      <c r="O54" s="29"/>
      <c r="P54" s="29"/>
      <c r="Q54" s="29"/>
      <c r="R54" s="29" t="s">
        <v>68</v>
      </c>
      <c r="S54" s="29"/>
      <c r="T54" s="29"/>
      <c r="U54" s="29"/>
      <c r="V54" s="29"/>
      <c r="W54" s="29"/>
      <c r="X54" s="43" t="s">
        <v>82</v>
      </c>
      <c r="Y54" s="49" t="e">
        <f>IF(L44=0,AB46,L44)</f>
        <v>#DIV/0!</v>
      </c>
      <c r="Z54" s="44" t="s">
        <v>83</v>
      </c>
      <c r="AA54" s="30"/>
    </row>
    <row r="55" ht="12.75">
      <c r="X55" s="1" t="s">
        <v>33</v>
      </c>
    </row>
    <row r="59" ht="12.75">
      <c r="X59" s="31"/>
    </row>
    <row r="60" ht="12.75">
      <c r="X60" s="31"/>
    </row>
    <row r="61" ht="12.75">
      <c r="X61" s="31"/>
    </row>
    <row r="62" ht="12.75">
      <c r="X62" s="31"/>
    </row>
    <row r="63" ht="12.75">
      <c r="X63" s="31"/>
    </row>
  </sheetData>
  <sheetProtection/>
  <mergeCells count="67">
    <mergeCell ref="A1:AE1"/>
    <mergeCell ref="A2:AE2"/>
    <mergeCell ref="A4:AE4"/>
    <mergeCell ref="AA43:AC43"/>
    <mergeCell ref="S35:Z35"/>
    <mergeCell ref="AA9:AD9"/>
    <mergeCell ref="AA10:AD10"/>
    <mergeCell ref="AA40:AC40"/>
    <mergeCell ref="N9:R10"/>
    <mergeCell ref="N13:R13"/>
    <mergeCell ref="U51:V51"/>
    <mergeCell ref="AB46:AC46"/>
    <mergeCell ref="Y26:Z26"/>
    <mergeCell ref="AB26:AC26"/>
    <mergeCell ref="N32:R32"/>
    <mergeCell ref="S33:Z33"/>
    <mergeCell ref="U50:V50"/>
    <mergeCell ref="L43:N43"/>
    <mergeCell ref="L44:N44"/>
    <mergeCell ref="N33:R33"/>
    <mergeCell ref="Y46:Z46"/>
    <mergeCell ref="L40:N40"/>
    <mergeCell ref="AA41:AC41"/>
    <mergeCell ref="F49:AA49"/>
    <mergeCell ref="AA42:AC42"/>
    <mergeCell ref="AA21:AC21"/>
    <mergeCell ref="AA22:AC22"/>
    <mergeCell ref="AA23:AC23"/>
    <mergeCell ref="L21:N21"/>
    <mergeCell ref="V31:X31"/>
    <mergeCell ref="S13:V13"/>
    <mergeCell ref="W11:Z11"/>
    <mergeCell ref="L41:N41"/>
    <mergeCell ref="L42:N42"/>
    <mergeCell ref="S32:Z32"/>
    <mergeCell ref="A29:AE29"/>
    <mergeCell ref="N36:R36"/>
    <mergeCell ref="S36:Z36"/>
    <mergeCell ref="AA39:AC39"/>
    <mergeCell ref="S34:Z34"/>
    <mergeCell ref="L39:N39"/>
    <mergeCell ref="N34:R34"/>
    <mergeCell ref="N35:R35"/>
    <mergeCell ref="T16:W16"/>
    <mergeCell ref="L22:N22"/>
    <mergeCell ref="L23:N23"/>
    <mergeCell ref="L24:N24"/>
    <mergeCell ref="N6:R6"/>
    <mergeCell ref="W13:Z13"/>
    <mergeCell ref="AA13:AD13"/>
    <mergeCell ref="S9:V10"/>
    <mergeCell ref="W10:Z10"/>
    <mergeCell ref="N12:R12"/>
    <mergeCell ref="W12:Z12"/>
    <mergeCell ref="N11:R11"/>
    <mergeCell ref="N7:R7"/>
    <mergeCell ref="N8:R8"/>
    <mergeCell ref="S6:V6"/>
    <mergeCell ref="S7:V7"/>
    <mergeCell ref="S8:V8"/>
    <mergeCell ref="S11:V11"/>
    <mergeCell ref="S12:V12"/>
    <mergeCell ref="AA6:AD6"/>
    <mergeCell ref="W6:Z6"/>
    <mergeCell ref="W7:Z7"/>
    <mergeCell ref="W8:Z8"/>
    <mergeCell ref="W9:Z9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I63"/>
  <sheetViews>
    <sheetView showZeros="0" view="pageBreakPreview" zoomScaleSheetLayoutView="100" zoomScalePageLayoutView="0" workbookViewId="0" topLeftCell="A1">
      <selection activeCell="A1" sqref="A1:AE1"/>
    </sheetView>
  </sheetViews>
  <sheetFormatPr defaultColWidth="3.125" defaultRowHeight="13.5"/>
  <cols>
    <col min="1" max="1" width="2.125" style="1" customWidth="1"/>
    <col min="2" max="2" width="1.875" style="1" customWidth="1"/>
    <col min="3" max="15" width="3.125" style="1" customWidth="1"/>
    <col min="16" max="17" width="1.875" style="1" customWidth="1"/>
    <col min="18" max="30" width="3.125" style="1" customWidth="1"/>
    <col min="31" max="31" width="5.375" style="1" customWidth="1"/>
    <col min="32" max="32" width="3.125" style="1" customWidth="1"/>
    <col min="33" max="33" width="4.875" style="1" customWidth="1"/>
    <col min="34" max="35" width="8.625" style="1" customWidth="1"/>
    <col min="36" max="16384" width="3.125" style="1" customWidth="1"/>
  </cols>
  <sheetData>
    <row r="1" spans="1:31" ht="18.75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13.5">
      <c r="A2" s="111" t="s">
        <v>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ht="13.5"/>
    <row r="4" spans="1:31" ht="17.25">
      <c r="A4" s="94" t="s">
        <v>91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ht="13.5">
      <c r="AA5" s="1" t="s">
        <v>30</v>
      </c>
    </row>
    <row r="6" spans="1:35" ht="13.5">
      <c r="A6" s="1" t="s">
        <v>61</v>
      </c>
      <c r="B6" s="1" t="s">
        <v>0</v>
      </c>
      <c r="N6" s="67"/>
      <c r="O6" s="68"/>
      <c r="P6" s="68"/>
      <c r="Q6" s="68"/>
      <c r="R6" s="69"/>
      <c r="S6" s="55" t="s">
        <v>27</v>
      </c>
      <c r="T6" s="56"/>
      <c r="U6" s="56"/>
      <c r="V6" s="57"/>
      <c r="W6" s="55" t="s">
        <v>28</v>
      </c>
      <c r="X6" s="56"/>
      <c r="Y6" s="56"/>
      <c r="Z6" s="57"/>
      <c r="AA6" s="55" t="s">
        <v>29</v>
      </c>
      <c r="AB6" s="56"/>
      <c r="AC6" s="56"/>
      <c r="AD6" s="57"/>
      <c r="AH6" s="34">
        <f>S7+S8</f>
        <v>4500</v>
      </c>
      <c r="AI6" s="1" t="s">
        <v>71</v>
      </c>
    </row>
    <row r="7" spans="2:35" ht="13.5">
      <c r="B7" s="1" t="s">
        <v>1</v>
      </c>
      <c r="N7" s="67" t="s">
        <v>4</v>
      </c>
      <c r="O7" s="68"/>
      <c r="P7" s="68"/>
      <c r="Q7" s="68"/>
      <c r="R7" s="69"/>
      <c r="S7" s="58">
        <v>2000</v>
      </c>
      <c r="T7" s="59"/>
      <c r="U7" s="59"/>
      <c r="V7" s="60"/>
      <c r="W7" s="64">
        <f>S7+W9</f>
        <v>2222.2</v>
      </c>
      <c r="X7" s="65"/>
      <c r="Y7" s="65"/>
      <c r="Z7" s="66"/>
      <c r="AA7" s="36" t="s">
        <v>76</v>
      </c>
      <c r="AB7" s="35"/>
      <c r="AC7" s="32"/>
      <c r="AD7" s="33"/>
      <c r="AG7" s="1" t="s">
        <v>72</v>
      </c>
      <c r="AH7" s="38">
        <f>ROUNDDOWN(S7/AH6,4)</f>
        <v>0.4444</v>
      </c>
      <c r="AI7" s="1">
        <f>ROUNDDOWN(S9*AH7,2)</f>
        <v>222.2</v>
      </c>
    </row>
    <row r="8" spans="14:35" ht="13.5">
      <c r="N8" s="67" t="s">
        <v>5</v>
      </c>
      <c r="O8" s="68"/>
      <c r="P8" s="68"/>
      <c r="Q8" s="68"/>
      <c r="R8" s="69"/>
      <c r="S8" s="58">
        <v>2500</v>
      </c>
      <c r="T8" s="59"/>
      <c r="U8" s="59"/>
      <c r="V8" s="60"/>
      <c r="W8" s="64">
        <f>S8+W10</f>
        <v>2777.8</v>
      </c>
      <c r="X8" s="65"/>
      <c r="Y8" s="65"/>
      <c r="Z8" s="66"/>
      <c r="AA8" s="36" t="s">
        <v>77</v>
      </c>
      <c r="AB8" s="35"/>
      <c r="AC8" s="32"/>
      <c r="AD8" s="33"/>
      <c r="AH8" s="38">
        <f>ROUNDDOWN(1-AH7,4)</f>
        <v>0.5556</v>
      </c>
      <c r="AI8" s="54">
        <f>S9-AI7</f>
        <v>277.8</v>
      </c>
    </row>
    <row r="9" spans="5:35" ht="13.5">
      <c r="E9" s="5" t="s">
        <v>31</v>
      </c>
      <c r="N9" s="82" t="s">
        <v>24</v>
      </c>
      <c r="O9" s="83"/>
      <c r="P9" s="83"/>
      <c r="Q9" s="83"/>
      <c r="R9" s="84"/>
      <c r="S9" s="72">
        <v>500</v>
      </c>
      <c r="T9" s="73"/>
      <c r="U9" s="73"/>
      <c r="V9" s="74"/>
      <c r="W9" s="64">
        <f>AI7</f>
        <v>222.2</v>
      </c>
      <c r="X9" s="65"/>
      <c r="Y9" s="65"/>
      <c r="Z9" s="66"/>
      <c r="AA9" s="115" t="s">
        <v>74</v>
      </c>
      <c r="AB9" s="116"/>
      <c r="AC9" s="116"/>
      <c r="AD9" s="117"/>
      <c r="AI9" s="1">
        <f>SUM(AI7:AI8)</f>
        <v>500</v>
      </c>
    </row>
    <row r="10" spans="5:30" ht="13.5">
      <c r="E10" s="39" t="s">
        <v>32</v>
      </c>
      <c r="G10" s="5"/>
      <c r="N10" s="119"/>
      <c r="O10" s="120"/>
      <c r="P10" s="120"/>
      <c r="Q10" s="120"/>
      <c r="R10" s="121"/>
      <c r="S10" s="75"/>
      <c r="T10" s="76"/>
      <c r="U10" s="76"/>
      <c r="V10" s="77"/>
      <c r="W10" s="64">
        <f>AI8</f>
        <v>277.8</v>
      </c>
      <c r="X10" s="65"/>
      <c r="Y10" s="65"/>
      <c r="Z10" s="66"/>
      <c r="AA10" s="118" t="s">
        <v>75</v>
      </c>
      <c r="AB10" s="116"/>
      <c r="AC10" s="116"/>
      <c r="AD10" s="117"/>
    </row>
    <row r="11" spans="14:34" ht="13.5">
      <c r="N11" s="67" t="s">
        <v>25</v>
      </c>
      <c r="O11" s="68"/>
      <c r="P11" s="68"/>
      <c r="Q11" s="68"/>
      <c r="R11" s="69"/>
      <c r="S11" s="58">
        <v>500</v>
      </c>
      <c r="T11" s="59"/>
      <c r="U11" s="59"/>
      <c r="V11" s="60"/>
      <c r="W11" s="88"/>
      <c r="X11" s="89"/>
      <c r="Y11" s="89"/>
      <c r="Z11" s="90"/>
      <c r="AA11" s="2"/>
      <c r="AB11" s="3"/>
      <c r="AC11" s="3"/>
      <c r="AD11" s="4"/>
      <c r="AG11" s="37" t="s">
        <v>80</v>
      </c>
      <c r="AH11" s="1" t="s">
        <v>81</v>
      </c>
    </row>
    <row r="12" spans="14:30" ht="13.5">
      <c r="N12" s="67" t="s">
        <v>26</v>
      </c>
      <c r="O12" s="68"/>
      <c r="P12" s="68"/>
      <c r="Q12" s="68"/>
      <c r="R12" s="69"/>
      <c r="S12" s="61">
        <f>SUM(S7:V11)</f>
        <v>5500</v>
      </c>
      <c r="T12" s="62"/>
      <c r="U12" s="62"/>
      <c r="V12" s="63"/>
      <c r="W12" s="64">
        <f>SUM(W7:Z8)</f>
        <v>5000</v>
      </c>
      <c r="X12" s="65"/>
      <c r="Y12" s="65"/>
      <c r="Z12" s="66"/>
      <c r="AA12" s="2" t="s">
        <v>73</v>
      </c>
      <c r="AB12" s="3"/>
      <c r="AC12" s="3"/>
      <c r="AD12" s="4"/>
    </row>
    <row r="13" spans="14:30" ht="13.5">
      <c r="N13" s="71" t="s">
        <v>84</v>
      </c>
      <c r="O13" s="71"/>
      <c r="P13" s="71"/>
      <c r="Q13" s="71"/>
      <c r="R13" s="71"/>
      <c r="S13" s="87"/>
      <c r="T13" s="87"/>
      <c r="U13" s="87"/>
      <c r="V13" s="87"/>
      <c r="W13" s="70">
        <f>ROUND(W7+(W8*0.5),2)</f>
        <v>3611.1</v>
      </c>
      <c r="X13" s="70"/>
      <c r="Y13" s="70"/>
      <c r="Z13" s="70"/>
      <c r="AA13" s="71" t="s">
        <v>85</v>
      </c>
      <c r="AB13" s="71"/>
      <c r="AC13" s="71"/>
      <c r="AD13" s="71"/>
    </row>
    <row r="14" spans="1:2" ht="13.5">
      <c r="A14" s="1" t="s">
        <v>35</v>
      </c>
      <c r="B14" s="1" t="s">
        <v>2</v>
      </c>
    </row>
    <row r="15" ht="13.5"/>
    <row r="16" spans="1:25" ht="13.5">
      <c r="A16" s="1" t="s">
        <v>86</v>
      </c>
      <c r="S16" s="50"/>
      <c r="T16" s="85">
        <f>W13</f>
        <v>3611.1</v>
      </c>
      <c r="U16" s="85"/>
      <c r="V16" s="85"/>
      <c r="W16" s="85"/>
      <c r="X16" s="1" t="s">
        <v>60</v>
      </c>
      <c r="Y16" s="1" t="s">
        <v>87</v>
      </c>
    </row>
    <row r="17" ht="13.5"/>
    <row r="18" spans="1:2" ht="13.5">
      <c r="A18" s="1" t="s">
        <v>36</v>
      </c>
      <c r="B18" s="1" t="s">
        <v>3</v>
      </c>
    </row>
    <row r="19" ht="13.5"/>
    <row r="20" spans="2:31" ht="13.5">
      <c r="B20" s="6"/>
      <c r="C20" s="7"/>
      <c r="D20" s="7" t="s">
        <v>78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6"/>
      <c r="R20" s="7"/>
      <c r="S20" s="7" t="s">
        <v>79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/>
    </row>
    <row r="21" spans="2:31" ht="13.5">
      <c r="B21" s="9"/>
      <c r="C21" s="10" t="s">
        <v>4</v>
      </c>
      <c r="D21" s="10"/>
      <c r="E21" s="10"/>
      <c r="F21" s="10"/>
      <c r="G21" s="10" t="s">
        <v>14</v>
      </c>
      <c r="H21" s="10"/>
      <c r="I21" s="10"/>
      <c r="J21" s="10"/>
      <c r="K21" s="10"/>
      <c r="L21" s="78">
        <f>IF(W12&gt;=6000,ROUND(W7/150,2),0)</f>
        <v>0</v>
      </c>
      <c r="M21" s="78"/>
      <c r="N21" s="78"/>
      <c r="O21" s="10" t="s">
        <v>7</v>
      </c>
      <c r="P21" s="11"/>
      <c r="Q21" s="9"/>
      <c r="R21" s="10" t="s">
        <v>4</v>
      </c>
      <c r="S21" s="10"/>
      <c r="T21" s="10"/>
      <c r="U21" s="10"/>
      <c r="V21" s="10" t="s">
        <v>14</v>
      </c>
      <c r="W21" s="10"/>
      <c r="X21" s="10"/>
      <c r="Y21" s="10"/>
      <c r="Z21" s="10"/>
      <c r="AA21" s="103">
        <f>IF(W12&lt;6000,ROUND(W7/150,2),0)</f>
        <v>14.81</v>
      </c>
      <c r="AB21" s="103"/>
      <c r="AC21" s="103"/>
      <c r="AD21" s="10" t="s">
        <v>7</v>
      </c>
      <c r="AE21" s="11"/>
    </row>
    <row r="22" spans="2:31" ht="13.5">
      <c r="B22" s="9"/>
      <c r="C22" s="10" t="s">
        <v>5</v>
      </c>
      <c r="D22" s="10"/>
      <c r="E22" s="10"/>
      <c r="F22" s="10"/>
      <c r="G22" s="10" t="s">
        <v>37</v>
      </c>
      <c r="H22" s="10"/>
      <c r="I22" s="10"/>
      <c r="J22" s="10"/>
      <c r="K22" s="10"/>
      <c r="L22" s="78">
        <f>IF(W12&gt;=6000,ROUND(W8/350,2),0)</f>
        <v>0</v>
      </c>
      <c r="M22" s="78"/>
      <c r="N22" s="78"/>
      <c r="O22" s="10" t="s">
        <v>7</v>
      </c>
      <c r="P22" s="11"/>
      <c r="Q22" s="9"/>
      <c r="R22" s="10" t="s">
        <v>5</v>
      </c>
      <c r="S22" s="10"/>
      <c r="T22" s="10"/>
      <c r="U22" s="10"/>
      <c r="V22" s="10" t="s">
        <v>37</v>
      </c>
      <c r="W22" s="10"/>
      <c r="X22" s="10"/>
      <c r="Y22" s="10"/>
      <c r="Z22" s="10"/>
      <c r="AA22" s="103">
        <f>IF(W12&lt;6000,ROUND(W8/350,2),0)</f>
        <v>7.94</v>
      </c>
      <c r="AB22" s="103"/>
      <c r="AC22" s="103"/>
      <c r="AD22" s="10" t="s">
        <v>7</v>
      </c>
      <c r="AE22" s="11"/>
    </row>
    <row r="23" spans="2:31" ht="14.25" thickBot="1">
      <c r="B23" s="9"/>
      <c r="C23" s="10"/>
      <c r="D23" s="10"/>
      <c r="E23" s="10" t="s">
        <v>6</v>
      </c>
      <c r="F23" s="10"/>
      <c r="G23" s="10"/>
      <c r="H23" s="10"/>
      <c r="I23" s="10"/>
      <c r="J23" s="10"/>
      <c r="K23" s="10"/>
      <c r="L23" s="78">
        <f>IF(W12&gt;=6000,ROUND(L21+L22,2),0)</f>
        <v>0</v>
      </c>
      <c r="M23" s="78"/>
      <c r="N23" s="78"/>
      <c r="O23" s="10" t="s">
        <v>7</v>
      </c>
      <c r="P23" s="11"/>
      <c r="Q23" s="9"/>
      <c r="R23" s="10"/>
      <c r="S23" s="10"/>
      <c r="T23" s="10" t="s">
        <v>6</v>
      </c>
      <c r="U23" s="10"/>
      <c r="V23" s="10"/>
      <c r="W23" s="10"/>
      <c r="X23" s="10"/>
      <c r="Y23" s="10"/>
      <c r="Z23" s="10"/>
      <c r="AA23" s="103">
        <f>IF(W12&lt;6000,AA21+AA22,0)</f>
        <v>22.75</v>
      </c>
      <c r="AB23" s="103"/>
      <c r="AC23" s="103"/>
      <c r="AD23" s="10" t="s">
        <v>7</v>
      </c>
      <c r="AE23" s="11" t="s">
        <v>38</v>
      </c>
    </row>
    <row r="24" spans="2:31" ht="14.25" thickBot="1">
      <c r="B24" s="9"/>
      <c r="C24" s="12" t="s">
        <v>64</v>
      </c>
      <c r="D24" s="13"/>
      <c r="E24" s="13"/>
      <c r="F24" s="13"/>
      <c r="G24" s="13"/>
      <c r="H24" s="13"/>
      <c r="I24" s="13"/>
      <c r="J24" s="13"/>
      <c r="K24" s="13"/>
      <c r="L24" s="86">
        <f>IF(W12&gt;=6000,ROUNDUP(L23,0),0)</f>
        <v>0</v>
      </c>
      <c r="M24" s="86"/>
      <c r="N24" s="86"/>
      <c r="O24" s="14" t="s">
        <v>7</v>
      </c>
      <c r="P24" s="11"/>
      <c r="Q24" s="9"/>
      <c r="R24" s="15" t="s">
        <v>13</v>
      </c>
      <c r="S24" s="15"/>
      <c r="T24" s="15"/>
      <c r="U24" s="15" t="s">
        <v>93</v>
      </c>
      <c r="V24" s="10"/>
      <c r="W24" s="10"/>
      <c r="X24" s="10"/>
      <c r="Y24" s="10"/>
      <c r="Z24" s="10"/>
      <c r="AA24" s="10"/>
      <c r="AB24" s="10"/>
      <c r="AC24" s="10"/>
      <c r="AD24" s="10"/>
      <c r="AE24" s="11"/>
    </row>
    <row r="25" spans="2:31" ht="14.25" thickBo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">
        <v>39</v>
      </c>
      <c r="P25" s="11"/>
      <c r="Q25" s="9"/>
      <c r="R25" s="15"/>
      <c r="S25" s="15"/>
      <c r="T25" s="15"/>
      <c r="U25" s="15" t="str">
        <f>IF(W12&lt;6000,"=1-1000*(6000-"&amp;FIXED(W12,2)&amp;")/(6000*"&amp;FIXED(T16,2)&amp;"-1000*"&amp;FIXED(W12,2)&amp;")",0)</f>
        <v>=1-1000*(6000-5,000.00)/(6000*3,611.10-1000*5,000.00)</v>
      </c>
      <c r="V25" s="10"/>
      <c r="W25" s="10"/>
      <c r="X25" s="10"/>
      <c r="Y25" s="10"/>
      <c r="Z25" s="10"/>
      <c r="AA25" s="10"/>
      <c r="AB25" s="10"/>
      <c r="AC25" s="10"/>
      <c r="AD25" s="10"/>
      <c r="AE25" s="11"/>
    </row>
    <row r="26" spans="2:31" ht="14.25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9"/>
      <c r="R26" s="12" t="s">
        <v>64</v>
      </c>
      <c r="S26" s="13"/>
      <c r="T26" s="13"/>
      <c r="U26" s="13"/>
      <c r="V26" s="13"/>
      <c r="W26" s="13" t="s">
        <v>65</v>
      </c>
      <c r="X26" s="13"/>
      <c r="Y26" s="107">
        <f>IF(W12=0,0,IF(W12&lt;6000,AA23*((1-1000*(6000-W12)/(6000*T16-1000*W12))),0))</f>
        <v>21.38499453997816</v>
      </c>
      <c r="Z26" s="107"/>
      <c r="AA26" s="13" t="str">
        <f>IF(W12&lt;6000,"≒","")</f>
        <v>≒</v>
      </c>
      <c r="AB26" s="108">
        <f>IF(W12&lt;6000,(ROUNDUP(Y26,0)),0)</f>
        <v>22</v>
      </c>
      <c r="AC26" s="86"/>
      <c r="AD26" s="14" t="s">
        <v>7</v>
      </c>
      <c r="AE26" s="11" t="s">
        <v>39</v>
      </c>
    </row>
    <row r="27" spans="2:31" ht="13.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8"/>
    </row>
    <row r="28" spans="2:31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7.25">
      <c r="A29" s="94" t="s">
        <v>92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ht="13.5"/>
    <row r="31" spans="1:25" ht="13.5">
      <c r="A31" s="1" t="s">
        <v>35</v>
      </c>
      <c r="B31" s="1" t="s">
        <v>2</v>
      </c>
      <c r="N31" s="1" t="s">
        <v>4</v>
      </c>
      <c r="S31" s="1" t="s">
        <v>42</v>
      </c>
      <c r="V31" s="104">
        <f>W7</f>
        <v>2222.2</v>
      </c>
      <c r="W31" s="105"/>
      <c r="X31" s="105"/>
      <c r="Y31" s="1" t="s">
        <v>43</v>
      </c>
    </row>
    <row r="32" spans="14:30" ht="13.5">
      <c r="N32" s="79" t="s">
        <v>8</v>
      </c>
      <c r="O32" s="80"/>
      <c r="P32" s="80"/>
      <c r="Q32" s="80"/>
      <c r="R32" s="81"/>
      <c r="S32" s="91">
        <v>1222.2</v>
      </c>
      <c r="T32" s="92"/>
      <c r="U32" s="92"/>
      <c r="V32" s="92"/>
      <c r="W32" s="92"/>
      <c r="X32" s="92"/>
      <c r="Y32" s="92"/>
      <c r="Z32" s="93"/>
      <c r="AA32" s="2" t="s">
        <v>44</v>
      </c>
      <c r="AB32" s="3"/>
      <c r="AC32" s="3"/>
      <c r="AD32" s="4"/>
    </row>
    <row r="33" spans="14:30" ht="13.5">
      <c r="N33" s="79" t="s">
        <v>9</v>
      </c>
      <c r="O33" s="80"/>
      <c r="P33" s="80"/>
      <c r="Q33" s="80"/>
      <c r="R33" s="81"/>
      <c r="S33" s="91"/>
      <c r="T33" s="92"/>
      <c r="U33" s="92"/>
      <c r="V33" s="92"/>
      <c r="W33" s="92"/>
      <c r="X33" s="92"/>
      <c r="Y33" s="92"/>
      <c r="Z33" s="93"/>
      <c r="AA33" s="2" t="s">
        <v>45</v>
      </c>
      <c r="AB33" s="3"/>
      <c r="AC33" s="3"/>
      <c r="AD33" s="4"/>
    </row>
    <row r="34" spans="14:30" ht="13.5">
      <c r="N34" s="79" t="s">
        <v>10</v>
      </c>
      <c r="O34" s="80"/>
      <c r="P34" s="80"/>
      <c r="Q34" s="80"/>
      <c r="R34" s="81"/>
      <c r="S34" s="91"/>
      <c r="T34" s="92"/>
      <c r="U34" s="92"/>
      <c r="V34" s="92"/>
      <c r="W34" s="92"/>
      <c r="X34" s="92"/>
      <c r="Y34" s="92"/>
      <c r="Z34" s="93"/>
      <c r="AA34" s="2" t="s">
        <v>46</v>
      </c>
      <c r="AB34" s="3"/>
      <c r="AC34" s="3"/>
      <c r="AD34" s="4"/>
    </row>
    <row r="35" spans="14:30" ht="14.25" thickBot="1">
      <c r="N35" s="82" t="s">
        <v>11</v>
      </c>
      <c r="O35" s="83"/>
      <c r="P35" s="83"/>
      <c r="Q35" s="83"/>
      <c r="R35" s="84"/>
      <c r="S35" s="112">
        <v>1000</v>
      </c>
      <c r="T35" s="113"/>
      <c r="U35" s="113"/>
      <c r="V35" s="113"/>
      <c r="W35" s="113"/>
      <c r="X35" s="113"/>
      <c r="Y35" s="113"/>
      <c r="Z35" s="114"/>
      <c r="AA35" s="6" t="s">
        <v>47</v>
      </c>
      <c r="AB35" s="7"/>
      <c r="AC35" s="7"/>
      <c r="AD35" s="8"/>
    </row>
    <row r="36" spans="14:30" ht="14.25" thickBot="1">
      <c r="N36" s="95" t="s">
        <v>88</v>
      </c>
      <c r="O36" s="96"/>
      <c r="P36" s="96"/>
      <c r="Q36" s="96"/>
      <c r="R36" s="97"/>
      <c r="S36" s="98">
        <f>SUM(S32:Z35)</f>
        <v>2222.2</v>
      </c>
      <c r="T36" s="99"/>
      <c r="U36" s="99"/>
      <c r="V36" s="99"/>
      <c r="W36" s="99"/>
      <c r="X36" s="99"/>
      <c r="Y36" s="99"/>
      <c r="Z36" s="100"/>
      <c r="AA36" s="51" t="s">
        <v>89</v>
      </c>
      <c r="AB36" s="13"/>
      <c r="AC36" s="13"/>
      <c r="AD36" s="14"/>
    </row>
    <row r="37" spans="1:2" ht="13.5">
      <c r="A37" s="1" t="s">
        <v>36</v>
      </c>
      <c r="B37" s="1" t="s">
        <v>3</v>
      </c>
    </row>
    <row r="38" spans="2:31" ht="13.5">
      <c r="B38" s="6"/>
      <c r="C38" s="7"/>
      <c r="D38" s="7" t="s">
        <v>78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  <c r="Q38" s="6"/>
      <c r="R38" s="7"/>
      <c r="S38" s="7" t="s">
        <v>79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</row>
    <row r="39" spans="2:31" ht="13.5">
      <c r="B39" s="9"/>
      <c r="C39" s="10" t="s">
        <v>8</v>
      </c>
      <c r="D39" s="10"/>
      <c r="E39" s="10"/>
      <c r="F39" s="10"/>
      <c r="G39" s="10" t="s">
        <v>15</v>
      </c>
      <c r="H39" s="10"/>
      <c r="I39" s="10"/>
      <c r="J39" s="10"/>
      <c r="K39" s="10"/>
      <c r="L39" s="78">
        <f>IF(W12&gt;=6000,ROUND(S32/3000,2),0)</f>
        <v>0</v>
      </c>
      <c r="M39" s="78"/>
      <c r="N39" s="78"/>
      <c r="O39" s="10" t="s">
        <v>7</v>
      </c>
      <c r="P39" s="11"/>
      <c r="Q39" s="9"/>
      <c r="R39" s="10" t="s">
        <v>8</v>
      </c>
      <c r="S39" s="10"/>
      <c r="T39" s="10"/>
      <c r="U39" s="10"/>
      <c r="V39" s="10" t="s">
        <v>15</v>
      </c>
      <c r="W39" s="10"/>
      <c r="X39" s="10"/>
      <c r="Y39" s="10"/>
      <c r="Z39" s="10"/>
      <c r="AA39" s="78">
        <f>IF(AND(W12&gt;0,W12&lt;6000),ROUND(S32/3000,2),0)</f>
        <v>0.41</v>
      </c>
      <c r="AB39" s="78"/>
      <c r="AC39" s="78"/>
      <c r="AD39" s="10" t="s">
        <v>7</v>
      </c>
      <c r="AE39" s="11"/>
    </row>
    <row r="40" spans="2:31" ht="13.5">
      <c r="B40" s="9"/>
      <c r="C40" s="10" t="s">
        <v>9</v>
      </c>
      <c r="D40" s="10"/>
      <c r="E40" s="10"/>
      <c r="F40" s="10"/>
      <c r="G40" s="10" t="s">
        <v>16</v>
      </c>
      <c r="H40" s="10"/>
      <c r="I40" s="10"/>
      <c r="J40" s="10"/>
      <c r="K40" s="10"/>
      <c r="L40" s="78">
        <f>IF(AND(W12&gt;0,W12&gt;=6000),ROUND(S33/5000,2),0)</f>
        <v>0</v>
      </c>
      <c r="M40" s="78"/>
      <c r="N40" s="78"/>
      <c r="O40" s="10" t="s">
        <v>7</v>
      </c>
      <c r="P40" s="11"/>
      <c r="Q40" s="9"/>
      <c r="R40" s="10" t="s">
        <v>9</v>
      </c>
      <c r="S40" s="10"/>
      <c r="T40" s="10"/>
      <c r="U40" s="10"/>
      <c r="V40" s="10" t="s">
        <v>16</v>
      </c>
      <c r="W40" s="10"/>
      <c r="X40" s="10"/>
      <c r="Y40" s="10"/>
      <c r="Z40" s="10"/>
      <c r="AA40" s="78">
        <f>IF(AND(W12&gt;0,W12&lt;6000),ROUND(S33/5000,2),0)</f>
        <v>0</v>
      </c>
      <c r="AB40" s="78"/>
      <c r="AC40" s="78"/>
      <c r="AD40" s="10" t="s">
        <v>7</v>
      </c>
      <c r="AE40" s="11"/>
    </row>
    <row r="41" spans="2:31" ht="13.5">
      <c r="B41" s="9"/>
      <c r="C41" s="10" t="s">
        <v>10</v>
      </c>
      <c r="D41" s="10"/>
      <c r="E41" s="10"/>
      <c r="F41" s="10"/>
      <c r="G41" s="10" t="s">
        <v>17</v>
      </c>
      <c r="H41" s="10"/>
      <c r="I41" s="10"/>
      <c r="J41" s="10"/>
      <c r="K41" s="10"/>
      <c r="L41" s="78">
        <f>IF(AND(W12&gt;0,W12&gt;=6000),ROUND(S34/1500,2),0)</f>
        <v>0</v>
      </c>
      <c r="M41" s="78"/>
      <c r="N41" s="78"/>
      <c r="O41" s="10" t="s">
        <v>7</v>
      </c>
      <c r="P41" s="11"/>
      <c r="Q41" s="9"/>
      <c r="R41" s="10" t="s">
        <v>10</v>
      </c>
      <c r="S41" s="10"/>
      <c r="T41" s="10"/>
      <c r="U41" s="10"/>
      <c r="V41" s="10" t="s">
        <v>17</v>
      </c>
      <c r="W41" s="10"/>
      <c r="X41" s="10"/>
      <c r="Y41" s="10"/>
      <c r="Z41" s="10"/>
      <c r="AA41" s="78">
        <f>IF(AND(W12&gt;0,W12&lt;6000),ROUND(S34/1500,2),0)</f>
        <v>0</v>
      </c>
      <c r="AB41" s="78"/>
      <c r="AC41" s="78"/>
      <c r="AD41" s="10" t="s">
        <v>7</v>
      </c>
      <c r="AE41" s="11"/>
    </row>
    <row r="42" spans="2:31" ht="13.5">
      <c r="B42" s="9"/>
      <c r="C42" s="10" t="s">
        <v>11</v>
      </c>
      <c r="D42" s="10"/>
      <c r="E42" s="10"/>
      <c r="F42" s="10"/>
      <c r="G42" s="10" t="s">
        <v>18</v>
      </c>
      <c r="H42" s="10"/>
      <c r="I42" s="10"/>
      <c r="J42" s="10"/>
      <c r="K42" s="10"/>
      <c r="L42" s="78">
        <f>IF(AND(W12&gt;0,W12&gt;=6000),ROUND(S35/4000,2),0)</f>
        <v>0</v>
      </c>
      <c r="M42" s="78"/>
      <c r="N42" s="78"/>
      <c r="O42" s="10" t="s">
        <v>7</v>
      </c>
      <c r="P42" s="11"/>
      <c r="Q42" s="9"/>
      <c r="R42" s="10" t="s">
        <v>11</v>
      </c>
      <c r="S42" s="10"/>
      <c r="T42" s="10"/>
      <c r="U42" s="10"/>
      <c r="V42" s="10" t="s">
        <v>18</v>
      </c>
      <c r="W42" s="10"/>
      <c r="X42" s="10"/>
      <c r="Y42" s="10"/>
      <c r="Z42" s="10"/>
      <c r="AA42" s="103">
        <f>IF(AND(W12&gt;0,W12&lt;6000),ROUND(S35/4000,2),0)</f>
        <v>0.25</v>
      </c>
      <c r="AB42" s="103"/>
      <c r="AC42" s="103"/>
      <c r="AD42" s="10" t="s">
        <v>7</v>
      </c>
      <c r="AE42" s="11"/>
    </row>
    <row r="43" spans="2:31" ht="14.25" thickBot="1">
      <c r="B43" s="9"/>
      <c r="C43" s="10"/>
      <c r="D43" s="10" t="s">
        <v>6</v>
      </c>
      <c r="E43" s="10"/>
      <c r="F43" s="10"/>
      <c r="G43" s="10"/>
      <c r="H43" s="10"/>
      <c r="I43" s="10"/>
      <c r="J43" s="10"/>
      <c r="K43" s="10"/>
      <c r="L43" s="78">
        <f>IF(AND(W12&gt;0,W12&gt;=6000),L39+L40+L41+L42,0)</f>
        <v>0</v>
      </c>
      <c r="M43" s="78"/>
      <c r="N43" s="78"/>
      <c r="O43" s="10" t="s">
        <v>49</v>
      </c>
      <c r="P43" s="11"/>
      <c r="Q43" s="9"/>
      <c r="R43" s="10"/>
      <c r="S43" s="10" t="s">
        <v>6</v>
      </c>
      <c r="T43" s="10"/>
      <c r="U43" s="10"/>
      <c r="V43" s="10"/>
      <c r="W43" s="10"/>
      <c r="X43" s="10"/>
      <c r="Y43" s="10"/>
      <c r="Z43" s="10"/>
      <c r="AA43" s="103">
        <f>IF(AND(W12&gt;0,W12&lt;6000),AA39+AA40+AA41+AA42,0)</f>
        <v>0.6599999999999999</v>
      </c>
      <c r="AB43" s="103"/>
      <c r="AC43" s="103"/>
      <c r="AD43" s="10" t="s">
        <v>49</v>
      </c>
      <c r="AE43" s="11" t="s">
        <v>50</v>
      </c>
    </row>
    <row r="44" spans="2:31" ht="14.25" thickBot="1">
      <c r="B44" s="9"/>
      <c r="C44" s="12" t="s">
        <v>64</v>
      </c>
      <c r="D44" s="13"/>
      <c r="E44" s="13"/>
      <c r="F44" s="13"/>
      <c r="G44" s="13"/>
      <c r="H44" s="13"/>
      <c r="I44" s="13"/>
      <c r="J44" s="13"/>
      <c r="K44" s="13"/>
      <c r="L44" s="86">
        <f>IF(L43&gt;0,ROUNDUP(L43,0),0)</f>
        <v>0</v>
      </c>
      <c r="M44" s="86"/>
      <c r="N44" s="86"/>
      <c r="O44" s="14" t="s">
        <v>7</v>
      </c>
      <c r="P44" s="11"/>
      <c r="Q44" s="9"/>
      <c r="R44" s="10" t="s">
        <v>13</v>
      </c>
      <c r="S44" s="10"/>
      <c r="T44" s="10"/>
      <c r="U44" s="10" t="s">
        <v>90</v>
      </c>
      <c r="V44" s="10"/>
      <c r="W44" s="10"/>
      <c r="X44" s="10"/>
      <c r="Y44" s="10"/>
      <c r="Z44" s="10"/>
      <c r="AA44" s="10"/>
      <c r="AB44" s="10"/>
      <c r="AC44" s="10"/>
      <c r="AD44" s="10"/>
      <c r="AE44" s="11"/>
    </row>
    <row r="45" spans="2:31" ht="14.25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 t="s">
        <v>12</v>
      </c>
      <c r="P45" s="11"/>
      <c r="Q45" s="9"/>
      <c r="R45" s="10"/>
      <c r="S45" s="10"/>
      <c r="T45" s="10"/>
      <c r="U45" s="19" t="str">
        <f>IF(AND(W12&gt;0,W12&lt;6000),"=1-(6000-"&amp;FIXED(W12,2)&amp;")/(2*"&amp;FIXED(W12,2)&amp;")",0)</f>
        <v>=1-(6000-5,000.00)/(2*5,000.00)</v>
      </c>
      <c r="V45" s="10"/>
      <c r="W45" s="10"/>
      <c r="X45" s="10"/>
      <c r="Y45" s="10"/>
      <c r="Z45" s="10"/>
      <c r="AA45" s="10"/>
      <c r="AB45" s="10"/>
      <c r="AC45" s="10"/>
      <c r="AD45" s="10"/>
      <c r="AE45" s="11"/>
    </row>
    <row r="46" spans="2:31" ht="14.25" thickBo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9"/>
      <c r="R46" s="12" t="s">
        <v>64</v>
      </c>
      <c r="S46" s="13"/>
      <c r="T46" s="13"/>
      <c r="U46" s="13"/>
      <c r="V46" s="13"/>
      <c r="W46" s="13" t="s">
        <v>63</v>
      </c>
      <c r="X46" s="13"/>
      <c r="Y46" s="101">
        <f>IF(AND(W12&gt;0,W12&lt;6000),ROUND(AA43*((1-(6000-W12)/(2*W12))),1),0)</f>
        <v>0.6</v>
      </c>
      <c r="Z46" s="101"/>
      <c r="AA46" s="20" t="str">
        <f>IF(W12&lt;6000,"≒","")</f>
        <v>≒</v>
      </c>
      <c r="AB46" s="106">
        <f>IF(AND(W12&gt;0,W12&lt;6000),ROUNDUP(Y46,0),0)</f>
        <v>1</v>
      </c>
      <c r="AC46" s="106"/>
      <c r="AD46" s="14" t="s">
        <v>7</v>
      </c>
      <c r="AE46" s="11" t="s">
        <v>12</v>
      </c>
    </row>
    <row r="47" spans="2:31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8"/>
    </row>
    <row r="48" spans="2:31" ht="13.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6:27" ht="18" thickBot="1">
      <c r="F49" s="102" t="s">
        <v>19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</row>
    <row r="50" spans="6:27" ht="13.5">
      <c r="F50" s="21" t="s">
        <v>62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 t="s">
        <v>39</v>
      </c>
      <c r="S50" s="22"/>
      <c r="T50" s="22"/>
      <c r="U50" s="109">
        <f>IF(L24=0,AB26,L24)</f>
        <v>22</v>
      </c>
      <c r="V50" s="109"/>
      <c r="W50" s="22" t="s">
        <v>7</v>
      </c>
      <c r="X50" s="23"/>
      <c r="Y50" s="23"/>
      <c r="Z50" s="23"/>
      <c r="AA50" s="24"/>
    </row>
    <row r="51" spans="6:27" ht="13.5">
      <c r="F51" s="25"/>
      <c r="G51" s="2" t="s">
        <v>52</v>
      </c>
      <c r="H51" s="3" t="s">
        <v>20</v>
      </c>
      <c r="I51" s="3"/>
      <c r="J51" s="3"/>
      <c r="K51" s="3"/>
      <c r="L51" s="3" t="s">
        <v>53</v>
      </c>
      <c r="M51" s="3"/>
      <c r="N51" s="3"/>
      <c r="O51" s="3"/>
      <c r="P51" s="3"/>
      <c r="Q51" s="3"/>
      <c r="R51" s="3" t="s">
        <v>69</v>
      </c>
      <c r="S51" s="3"/>
      <c r="T51" s="3"/>
      <c r="U51" s="80">
        <f>U50-V52</f>
        <v>15</v>
      </c>
      <c r="V51" s="80"/>
      <c r="W51" s="3" t="s">
        <v>7</v>
      </c>
      <c r="X51" s="3"/>
      <c r="Y51" s="3"/>
      <c r="Z51" s="3"/>
      <c r="AA51" s="26"/>
    </row>
    <row r="52" spans="6:27" ht="13.5">
      <c r="F52" s="25"/>
      <c r="G52" s="6" t="s">
        <v>54</v>
      </c>
      <c r="H52" s="3" t="s">
        <v>21</v>
      </c>
      <c r="I52" s="3"/>
      <c r="J52" s="3"/>
      <c r="K52" s="3"/>
      <c r="L52" s="3" t="s">
        <v>55</v>
      </c>
      <c r="M52" s="3"/>
      <c r="N52" s="3"/>
      <c r="O52" s="3"/>
      <c r="P52" s="3"/>
      <c r="Q52" s="3"/>
      <c r="R52" s="3" t="s">
        <v>70</v>
      </c>
      <c r="S52" s="3"/>
      <c r="T52" s="3"/>
      <c r="U52" s="3"/>
      <c r="V52" s="3">
        <f>ROUNDUP(IF(L24=0,AB26*0.3,L24*0.3),0)</f>
        <v>7</v>
      </c>
      <c r="W52" s="3" t="s">
        <v>7</v>
      </c>
      <c r="X52" s="41" t="s">
        <v>82</v>
      </c>
      <c r="Y52" s="53">
        <f>V52-(Y53+Y54)</f>
        <v>5</v>
      </c>
      <c r="Z52" s="5" t="s">
        <v>83</v>
      </c>
      <c r="AA52" s="27"/>
    </row>
    <row r="53" spans="6:27" ht="12.75">
      <c r="F53" s="45"/>
      <c r="G53" s="47"/>
      <c r="H53" s="2" t="s">
        <v>56</v>
      </c>
      <c r="I53" s="3" t="s">
        <v>22</v>
      </c>
      <c r="J53" s="3"/>
      <c r="K53" s="3"/>
      <c r="L53" s="3"/>
      <c r="M53" s="3" t="s">
        <v>57</v>
      </c>
      <c r="N53" s="3"/>
      <c r="O53" s="3"/>
      <c r="P53" s="3"/>
      <c r="Q53" s="3"/>
      <c r="R53" s="3"/>
      <c r="S53" s="3"/>
      <c r="T53" s="3"/>
      <c r="U53" s="40"/>
      <c r="V53" s="40"/>
      <c r="W53" s="3"/>
      <c r="X53" s="41" t="s">
        <v>82</v>
      </c>
      <c r="Y53" s="52">
        <v>1</v>
      </c>
      <c r="Z53" s="42" t="s">
        <v>83</v>
      </c>
      <c r="AA53" s="26"/>
    </row>
    <row r="54" spans="6:27" ht="13.5" thickBot="1">
      <c r="F54" s="46"/>
      <c r="G54" s="48"/>
      <c r="H54" s="28" t="s">
        <v>58</v>
      </c>
      <c r="I54" s="29" t="s">
        <v>23</v>
      </c>
      <c r="J54" s="29"/>
      <c r="K54" s="29"/>
      <c r="L54" s="29"/>
      <c r="M54" s="29" t="s">
        <v>59</v>
      </c>
      <c r="N54" s="29"/>
      <c r="O54" s="29"/>
      <c r="P54" s="29"/>
      <c r="Q54" s="29"/>
      <c r="R54" s="29" t="s">
        <v>12</v>
      </c>
      <c r="S54" s="29"/>
      <c r="T54" s="29"/>
      <c r="U54" s="29"/>
      <c r="V54" s="29"/>
      <c r="W54" s="29"/>
      <c r="X54" s="43" t="s">
        <v>82</v>
      </c>
      <c r="Y54" s="49">
        <f>IF(L44=0,AB46,L44)</f>
        <v>1</v>
      </c>
      <c r="Z54" s="44" t="s">
        <v>83</v>
      </c>
      <c r="AA54" s="30"/>
    </row>
    <row r="55" ht="12.75">
      <c r="X55" s="1" t="s">
        <v>33</v>
      </c>
    </row>
    <row r="59" ht="12.75">
      <c r="X59" s="31"/>
    </row>
    <row r="60" ht="12.75">
      <c r="X60" s="31"/>
    </row>
    <row r="61" ht="12.75">
      <c r="X61" s="31"/>
    </row>
    <row r="62" ht="12.75">
      <c r="X62" s="31"/>
    </row>
    <row r="63" ht="12.75">
      <c r="X63" s="31"/>
    </row>
  </sheetData>
  <sheetProtection/>
  <mergeCells count="67">
    <mergeCell ref="A1:AE1"/>
    <mergeCell ref="A2:AE2"/>
    <mergeCell ref="A4:AE4"/>
    <mergeCell ref="N6:R6"/>
    <mergeCell ref="S6:V6"/>
    <mergeCell ref="W6:Z6"/>
    <mergeCell ref="AA6:AD6"/>
    <mergeCell ref="N7:R7"/>
    <mergeCell ref="S7:V7"/>
    <mergeCell ref="W7:Z7"/>
    <mergeCell ref="N8:R8"/>
    <mergeCell ref="S8:V8"/>
    <mergeCell ref="W8:Z8"/>
    <mergeCell ref="N9:R10"/>
    <mergeCell ref="S9:V10"/>
    <mergeCell ref="W9:Z9"/>
    <mergeCell ref="AA9:AD9"/>
    <mergeCell ref="W10:Z10"/>
    <mergeCell ref="AA10:AD10"/>
    <mergeCell ref="N11:R11"/>
    <mergeCell ref="S11:V11"/>
    <mergeCell ref="W11:Z11"/>
    <mergeCell ref="N12:R12"/>
    <mergeCell ref="S12:V12"/>
    <mergeCell ref="W12:Z12"/>
    <mergeCell ref="N13:R13"/>
    <mergeCell ref="S13:V13"/>
    <mergeCell ref="W13:Z13"/>
    <mergeCell ref="AA13:AD13"/>
    <mergeCell ref="T16:W16"/>
    <mergeCell ref="L21:N21"/>
    <mergeCell ref="AA21:AC21"/>
    <mergeCell ref="L22:N22"/>
    <mergeCell ref="AA22:AC22"/>
    <mergeCell ref="L23:N23"/>
    <mergeCell ref="AA23:AC23"/>
    <mergeCell ref="L24:N24"/>
    <mergeCell ref="Y26:Z26"/>
    <mergeCell ref="AB26:AC26"/>
    <mergeCell ref="A29:AE29"/>
    <mergeCell ref="V31:X31"/>
    <mergeCell ref="N32:R32"/>
    <mergeCell ref="S32:Z32"/>
    <mergeCell ref="N33:R33"/>
    <mergeCell ref="S33:Z33"/>
    <mergeCell ref="N34:R34"/>
    <mergeCell ref="S34:Z34"/>
    <mergeCell ref="N35:R35"/>
    <mergeCell ref="S35:Z35"/>
    <mergeCell ref="N36:R36"/>
    <mergeCell ref="S36:Z36"/>
    <mergeCell ref="L39:N39"/>
    <mergeCell ref="AA39:AC39"/>
    <mergeCell ref="L40:N40"/>
    <mergeCell ref="AA40:AC40"/>
    <mergeCell ref="L41:N41"/>
    <mergeCell ref="AA41:AC41"/>
    <mergeCell ref="F49:AA49"/>
    <mergeCell ref="U50:V50"/>
    <mergeCell ref="U51:V51"/>
    <mergeCell ref="L42:N42"/>
    <mergeCell ref="AA42:AC42"/>
    <mergeCell ref="L43:N43"/>
    <mergeCell ref="AA43:AC43"/>
    <mergeCell ref="L44:N44"/>
    <mergeCell ref="Y46:Z46"/>
    <mergeCell ref="AB46:AC4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山名克之</dc:creator>
  <cp:keywords/>
  <dc:description/>
  <cp:lastModifiedBy>obi22206@city.obihiro.hokkaido.jp</cp:lastModifiedBy>
  <cp:lastPrinted>2019-01-29T04:18:13Z</cp:lastPrinted>
  <dcterms:created xsi:type="dcterms:W3CDTF">2006-09-04T04:11:22Z</dcterms:created>
  <dcterms:modified xsi:type="dcterms:W3CDTF">2023-12-14T01:52:20Z</dcterms:modified>
  <cp:category/>
  <cp:version/>
  <cp:contentType/>
  <cp:contentStatus/>
</cp:coreProperties>
</file>